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1.200\共有フォルダ\00（新）共有フォルダ\L省エネ（モデル住宅法・仕様基準のソフト）\モデル住宅法\４~７地域完成版\"/>
    </mc:Choice>
  </mc:AlternateContent>
  <xr:revisionPtr revIDLastSave="0" documentId="13_ncr:1_{A833D889-3634-4CB9-8669-0F37847775C4}" xr6:coauthVersionLast="47" xr6:coauthVersionMax="47" xr10:uidLastSave="{00000000-0000-0000-0000-000000000000}"/>
  <bookViews>
    <workbookView xWindow="180" yWindow="0" windowWidth="11670" windowHeight="15480" tabRatio="854" xr2:uid="{EB8BA8DC-010C-4B16-8924-C1E52D507272}"/>
  </bookViews>
  <sheets>
    <sheet name="外皮性能表紙" sheetId="6" r:id="rId1"/>
    <sheet name="一次エネ消費量表紙" sheetId="5" r:id="rId2"/>
    <sheet name="外皮の係数" sheetId="2" r:id="rId3"/>
    <sheet name="data" sheetId="13" r:id="rId4"/>
    <sheet name="4地域_外皮性能と冷房設備" sheetId="3" r:id="rId5"/>
    <sheet name="4地域_他設備" sheetId="4" r:id="rId6"/>
    <sheet name="5地域_外皮性能と冷房設備" sheetId="7" r:id="rId7"/>
    <sheet name="5地域_他設備" sheetId="8" r:id="rId8"/>
    <sheet name="6地域_外皮性能と冷房設備" sheetId="9" r:id="rId9"/>
    <sheet name="6地域_他設備" sheetId="10" r:id="rId10"/>
    <sheet name="7地域_外皮性能と冷房設備" sheetId="11" r:id="rId11"/>
    <sheet name="7地域_他設備" sheetId="12" r:id="rId12"/>
  </sheets>
  <definedNames>
    <definedName name="_xlnm.Print_Area" localSheetId="4">'4地域_外皮性能と冷房設備'!$L$1:$AY$98</definedName>
    <definedName name="_xlnm.Print_Area" localSheetId="5">'4地域_他設備'!$L$1:$Y$54</definedName>
    <definedName name="_xlnm.Print_Area" localSheetId="6">'5地域_外皮性能と冷房設備'!$M$1:$AS$98</definedName>
    <definedName name="_xlnm.Print_Area" localSheetId="7">'5地域_他設備'!$L$1:$Z$54</definedName>
    <definedName name="_xlnm.Print_Area" localSheetId="8">'6地域_外皮性能と冷房設備'!$M$1:$AS$98</definedName>
    <definedName name="_xlnm.Print_Area" localSheetId="9">'6地域_他設備'!$L$1:$Z$54</definedName>
    <definedName name="_xlnm.Print_Area" localSheetId="10">'7地域_外皮性能と冷房設備'!$M$1:$AS$98</definedName>
    <definedName name="_xlnm.Print_Area" localSheetId="11">'7地域_他設備'!$L$1:$Z$54</definedName>
    <definedName name="_xlnm.Print_Area" localSheetId="1">一次エネ消費量表紙!$L$1:$AJ$101</definedName>
    <definedName name="_xlnm.Print_Area" localSheetId="2">外皮の係数!$G$1:$Z$28</definedName>
    <definedName name="_xlnm.Print_Area" localSheetId="0">外皮性能表紙!$J$1:$AH$78</definedName>
    <definedName name="UA値z">'4地域_外皮性能と冷房設備'!$B$7</definedName>
    <definedName name="ηAC値Z">'4地域_外皮性能と冷房設備'!$B$9</definedName>
    <definedName name="ηAH">'4地域_外皮性能と冷房設備'!$B$8</definedName>
    <definedName name="外皮係数の範囲4地域">外皮の係数!$K$7:$N$28</definedName>
    <definedName name="外皮係数の範囲5地域">外皮の係数!$O$7:$R$28</definedName>
    <definedName name="外皮係数の範囲6地域">外皮の係数!$S$7:$V$28</definedName>
    <definedName name="外皮係数の範囲7地域">外皮の係数!$W$7:$Z$28</definedName>
    <definedName name="外皮係数の範囲リスト">外皮の係数!$B$6:$E$28</definedName>
    <definedName name="換気設備ポイント一覧">一次エネ消費量表紙!$AT$48:$AX$52</definedName>
    <definedName name="換気設備配列4地域">'4地域_他設備'!$T$5:$Y$9</definedName>
    <definedName name="換気設備配列5地域">'5地域_他設備'!$T$5:$Y$9</definedName>
    <definedName name="換気設備配列6地域">'6地域_他設備'!$T$5:$Y$9</definedName>
    <definedName name="換気設備配列7地域">'7地域_他設備'!$T$5:$Y$9</definedName>
    <definedName name="給気設備ポイント一覧">一次エネ消費量表紙!$AT$56:$AX$67</definedName>
    <definedName name="給湯設備配列4地域">'4地域_他設備'!$T$13:$Y$24</definedName>
    <definedName name="給湯設備配列5地域">'5地域_他設備'!$T$13:$Y$24</definedName>
    <definedName name="給湯設備配列6地域">'6地域_他設備'!$T$13:$Y$24</definedName>
    <definedName name="給湯設備配列7地域">'7地域_他設備'!$T$13:$Y$24</definedName>
    <definedName name="照明設備ポイント一覧">一次エネ消費量表紙!$AT$81:$AX$97</definedName>
    <definedName name="照明設備配列4地域">'4地域_他設備'!$T$35:$Y$51</definedName>
    <definedName name="照明設備配列5地域">'5地域_他設備'!$T$35:$Y$51</definedName>
    <definedName name="照明設備配列6地域">'6地域_他設備'!$T$35:$Y$51</definedName>
    <definedName name="照明設備配列7地域">'7地域_他設備'!$T$35:$Y$51</definedName>
    <definedName name="断熱構造リスト">data!$B$2:$C$2</definedName>
    <definedName name="暖房設備リスト">data!$C$19:$C$23</definedName>
    <definedName name="暖房設備配列5地域">'5地域_外皮性能と冷房設備'!$F$15:$J$52</definedName>
    <definedName name="暖房設備配列6地域">'6地域_外皮性能と冷房設備'!$F$15:$J$52</definedName>
    <definedName name="暖房設備配列7地域">'7地域_外皮性能と冷房設備'!$F$15:$J$52</definedName>
    <definedName name="暖房配列4地域">'4地域_外皮性能と冷房設備'!$F$15:$J$52</definedName>
    <definedName name="暖房方式番号Z">'4地域_外皮性能と冷房設備'!$B$10</definedName>
    <definedName name="浴室の断熱構造の番号">外皮の係数!$B$5</definedName>
    <definedName name="浴室の断熱構造リスト">data!$B$4:$D$4</definedName>
    <definedName name="冷房設備配列4地域">'4地域_外皮性能と冷房設備'!$F$63:$J$98</definedName>
    <definedName name="冷房設備配列5地域">'5地域_外皮性能と冷房設備'!$F$63:$J$98</definedName>
    <definedName name="冷房設備配列6地域">'6地域_外皮性能と冷房設備'!$F$63:$J$98</definedName>
    <definedName name="冷房設備配列7地域">'7地域_外皮性能と冷房設備'!$F$63:$J$98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5" i="5" l="1"/>
  <c r="P17" i="5"/>
  <c r="L24" i="5"/>
  <c r="L23" i="5"/>
  <c r="AS11" i="5"/>
  <c r="AR13" i="5"/>
  <c r="AF1" i="5"/>
  <c r="L1" i="5"/>
  <c r="U11" i="5"/>
  <c r="U10" i="5"/>
  <c r="U9" i="5"/>
  <c r="AT97" i="5" l="1"/>
  <c r="AT96" i="5"/>
  <c r="AT95" i="5"/>
  <c r="AT94" i="5"/>
  <c r="AT93" i="5"/>
  <c r="AT92" i="5"/>
  <c r="AT91" i="5"/>
  <c r="AT90" i="5"/>
  <c r="AT89" i="5"/>
  <c r="AT88" i="5"/>
  <c r="AT87" i="5"/>
  <c r="AT86" i="5"/>
  <c r="AT85" i="5"/>
  <c r="AT84" i="5"/>
  <c r="AT83" i="5"/>
  <c r="AT82" i="5"/>
  <c r="AS97" i="5"/>
  <c r="AS96" i="5"/>
  <c r="AS95" i="5"/>
  <c r="AS94" i="5"/>
  <c r="AS93" i="5"/>
  <c r="AS92" i="5"/>
  <c r="AS91" i="5"/>
  <c r="AS90" i="5"/>
  <c r="AS89" i="5"/>
  <c r="AS88" i="5"/>
  <c r="AS87" i="5"/>
  <c r="AS86" i="5"/>
  <c r="AS85" i="5"/>
  <c r="AS84" i="5"/>
  <c r="AS83" i="5"/>
  <c r="AS82" i="5"/>
  <c r="AR94" i="5"/>
  <c r="AR90" i="5"/>
  <c r="AR86" i="5"/>
  <c r="AR82" i="5"/>
  <c r="AR66" i="5"/>
  <c r="AR64" i="5"/>
  <c r="AR62" i="5"/>
  <c r="AR60" i="5"/>
  <c r="AR58" i="5"/>
  <c r="AR57" i="5"/>
  <c r="AR52" i="5"/>
  <c r="AR51" i="5"/>
  <c r="AR50" i="5"/>
  <c r="AR49" i="5"/>
  <c r="C4" i="12"/>
  <c r="C4" i="10"/>
  <c r="C4" i="8"/>
  <c r="F95" i="5"/>
  <c r="F94" i="5"/>
  <c r="F93" i="5"/>
  <c r="F92" i="5"/>
  <c r="F91" i="5"/>
  <c r="F90" i="5"/>
  <c r="F89" i="5"/>
  <c r="F88" i="5"/>
  <c r="F87" i="5"/>
  <c r="F86" i="5"/>
  <c r="F85" i="5"/>
  <c r="F84" i="5"/>
  <c r="F83" i="5"/>
  <c r="F82" i="5"/>
  <c r="F97" i="5"/>
  <c r="F96" i="5"/>
  <c r="F57" i="5"/>
  <c r="F67" i="5"/>
  <c r="F66" i="5"/>
  <c r="F65" i="5"/>
  <c r="F64" i="5"/>
  <c r="F63" i="5"/>
  <c r="F62" i="5"/>
  <c r="F61" i="5"/>
  <c r="F60" i="5"/>
  <c r="F59" i="5"/>
  <c r="F58" i="5"/>
  <c r="U97" i="5"/>
  <c r="U96" i="5"/>
  <c r="U95" i="5"/>
  <c r="U94" i="5"/>
  <c r="U93" i="5"/>
  <c r="U92" i="5"/>
  <c r="U91" i="5"/>
  <c r="U90" i="5"/>
  <c r="U89" i="5"/>
  <c r="U88" i="5"/>
  <c r="U87" i="5"/>
  <c r="U86" i="5"/>
  <c r="U85" i="5"/>
  <c r="U84" i="5"/>
  <c r="U83" i="5"/>
  <c r="U82" i="5"/>
  <c r="N94" i="5"/>
  <c r="N90" i="5"/>
  <c r="N86" i="5"/>
  <c r="N82" i="5"/>
  <c r="Z67" i="5"/>
  <c r="Z66" i="5"/>
  <c r="Z64" i="5"/>
  <c r="Z65" i="5"/>
  <c r="Z62" i="5"/>
  <c r="Z63" i="5"/>
  <c r="Z61" i="5"/>
  <c r="Z60" i="5"/>
  <c r="Z59" i="5"/>
  <c r="Z58" i="5"/>
  <c r="N66" i="5"/>
  <c r="N64" i="5"/>
  <c r="N62" i="5"/>
  <c r="N60" i="5"/>
  <c r="N58" i="5"/>
  <c r="N57" i="5"/>
  <c r="C4" i="4"/>
  <c r="Y47" i="6"/>
  <c r="A64" i="1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64" i="9"/>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16" i="9"/>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64" i="7"/>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16" i="7"/>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64" i="3"/>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Y75" i="6"/>
  <c r="Y72" i="6"/>
  <c r="Y71" i="6"/>
  <c r="Y69" i="6"/>
  <c r="Y68" i="6"/>
  <c r="F26" i="6"/>
  <c r="H26" i="6"/>
  <c r="Y51" i="6"/>
  <c r="Y50" i="6"/>
  <c r="Y49" i="6"/>
  <c r="Y48" i="6"/>
  <c r="H32" i="6"/>
  <c r="H33" i="6"/>
  <c r="H29" i="6"/>
  <c r="H28" i="6"/>
  <c r="H25" i="6"/>
  <c r="H24" i="6"/>
  <c r="H23" i="6"/>
  <c r="H22" i="6"/>
  <c r="G32" i="6"/>
  <c r="G29" i="6"/>
  <c r="G28" i="6"/>
  <c r="G27" i="6"/>
  <c r="G24" i="6"/>
  <c r="G23" i="6"/>
  <c r="G22" i="6"/>
  <c r="F25" i="6"/>
  <c r="F33" i="6"/>
  <c r="F32" i="6"/>
  <c r="F27" i="6"/>
  <c r="F29" i="6"/>
  <c r="F28" i="6"/>
  <c r="F24" i="6"/>
  <c r="F23" i="6"/>
  <c r="F22" i="6"/>
  <c r="E22" i="6"/>
  <c r="E27" i="6"/>
  <c r="E26" i="6"/>
  <c r="E32" i="6"/>
  <c r="E29" i="6"/>
  <c r="E28" i="6"/>
  <c r="E24" i="6"/>
  <c r="E23" i="6"/>
  <c r="A14" i="6"/>
  <c r="A28" i="2"/>
  <c r="A27" i="2"/>
  <c r="A26" i="2"/>
  <c r="A25" i="2"/>
  <c r="A24" i="2"/>
  <c r="A23" i="2"/>
  <c r="A22" i="2"/>
  <c r="A21" i="2"/>
  <c r="A20" i="2"/>
  <c r="A19" i="2"/>
  <c r="A18" i="2"/>
  <c r="A17" i="2"/>
  <c r="A16" i="2"/>
  <c r="A15" i="2"/>
  <c r="A14" i="2"/>
  <c r="A13" i="2"/>
  <c r="A12" i="2"/>
  <c r="A11" i="2"/>
  <c r="A10" i="2"/>
  <c r="A9" i="2"/>
  <c r="A8" i="2"/>
  <c r="A7" i="2"/>
  <c r="A15" i="6"/>
  <c r="G3" i="13" s="1"/>
  <c r="AE3" i="6"/>
  <c r="AE42" i="6" l="1"/>
  <c r="AG3" i="5"/>
  <c r="B8" i="13"/>
  <c r="Y13" i="5"/>
  <c r="C14" i="5"/>
  <c r="I27" i="5"/>
  <c r="F98" i="5"/>
  <c r="F68" i="5"/>
  <c r="H38" i="6"/>
  <c r="H40" i="6" s="1"/>
  <c r="F38" i="6"/>
  <c r="F40" i="6" s="1"/>
  <c r="E38" i="6"/>
  <c r="E40" i="6" s="1"/>
  <c r="G38" i="6"/>
  <c r="G40" i="6" s="1"/>
  <c r="B32" i="6"/>
  <c r="P59" i="6" s="1"/>
  <c r="A16" i="6"/>
  <c r="I23" i="13" l="1"/>
  <c r="C22" i="13"/>
  <c r="I20" i="13"/>
  <c r="C23" i="13"/>
  <c r="I22" i="13"/>
  <c r="C21" i="13"/>
  <c r="C20" i="13"/>
  <c r="H19" i="13" s="1"/>
  <c r="C15" i="5" s="1"/>
  <c r="I21" i="13"/>
  <c r="AY81" i="5"/>
  <c r="AY56" i="5"/>
  <c r="AY48" i="5"/>
  <c r="C11" i="4"/>
  <c r="C11" i="12"/>
  <c r="C11" i="10"/>
  <c r="C11" i="8"/>
  <c r="C30" i="4"/>
  <c r="C30" i="12"/>
  <c r="C30" i="10"/>
  <c r="C30" i="8"/>
  <c r="L19" i="13"/>
  <c r="V16" i="5" s="1"/>
  <c r="U14" i="5" s="1"/>
  <c r="H41" i="6"/>
  <c r="G5" i="13"/>
  <c r="B5" i="2" s="1"/>
  <c r="E24" i="2" s="1"/>
  <c r="G41" i="6"/>
  <c r="E41" i="6"/>
  <c r="F41" i="6"/>
  <c r="L38" i="6"/>
  <c r="AH3" i="6"/>
  <c r="AJ3" i="5" l="1"/>
  <c r="B1" i="8"/>
  <c r="B1" i="10"/>
  <c r="B1" i="12"/>
  <c r="B1" i="4"/>
  <c r="B10" i="3"/>
  <c r="B10" i="11"/>
  <c r="B10" i="9"/>
  <c r="B10" i="7"/>
  <c r="B17" i="2"/>
  <c r="D22" i="2"/>
  <c r="B21" i="2"/>
  <c r="D14" i="2"/>
  <c r="B26" i="2"/>
  <c r="E27" i="2"/>
  <c r="D18" i="2"/>
  <c r="C7" i="2"/>
  <c r="D25" i="2"/>
  <c r="E22" i="2"/>
  <c r="C8" i="2"/>
  <c r="B10" i="2"/>
  <c r="E26" i="2"/>
  <c r="C12" i="2"/>
  <c r="B22" i="2"/>
  <c r="C23" i="2"/>
  <c r="C16" i="2"/>
  <c r="C13" i="2"/>
  <c r="C9" i="2"/>
  <c r="D24" i="2"/>
  <c r="C25" i="2"/>
  <c r="B14" i="2"/>
  <c r="D28" i="2"/>
  <c r="E7" i="2"/>
  <c r="D13" i="2"/>
  <c r="D23" i="2"/>
  <c r="E28" i="2"/>
  <c r="D21" i="2"/>
  <c r="D27" i="2"/>
  <c r="B11" i="2"/>
  <c r="B7" i="2"/>
  <c r="B9" i="2"/>
  <c r="B12" i="2"/>
  <c r="D11" i="2"/>
  <c r="D12" i="2"/>
  <c r="D9" i="2"/>
  <c r="B24" i="2"/>
  <c r="D15" i="2"/>
  <c r="D16" i="2"/>
  <c r="D17" i="2"/>
  <c r="D10" i="2"/>
  <c r="D19" i="2"/>
  <c r="D20" i="2"/>
  <c r="B23" i="2"/>
  <c r="C11" i="2"/>
  <c r="B16" i="2"/>
  <c r="C20" i="2"/>
  <c r="B19" i="2"/>
  <c r="E13" i="2"/>
  <c r="B13" i="2"/>
  <c r="B28" i="2"/>
  <c r="C24" i="2"/>
  <c r="E17" i="2"/>
  <c r="C14" i="2"/>
  <c r="B25" i="2"/>
  <c r="C19" i="2"/>
  <c r="E11" i="2"/>
  <c r="C28" i="2"/>
  <c r="E12" i="2"/>
  <c r="C10" i="2"/>
  <c r="C15" i="2"/>
  <c r="E8" i="2"/>
  <c r="B20" i="2"/>
  <c r="E21" i="2"/>
  <c r="C18" i="2"/>
  <c r="E10" i="2"/>
  <c r="C27" i="2"/>
  <c r="E15" i="2"/>
  <c r="D7" i="2"/>
  <c r="E16" i="2"/>
  <c r="E42" i="6"/>
  <c r="E9" i="2"/>
  <c r="D26" i="2"/>
  <c r="C17" i="2"/>
  <c r="E25" i="2"/>
  <c r="C22" i="2"/>
  <c r="E14" i="2"/>
  <c r="B15" i="2"/>
  <c r="E19" i="2"/>
  <c r="B18" i="2"/>
  <c r="E20" i="2"/>
  <c r="C21" i="2"/>
  <c r="B8" i="2"/>
  <c r="C26" i="2"/>
  <c r="E18" i="2"/>
  <c r="B27" i="2"/>
  <c r="E23" i="2"/>
  <c r="D8" i="2"/>
  <c r="M71" i="6"/>
  <c r="M50" i="6"/>
  <c r="M26" i="6"/>
  <c r="O33" i="6"/>
  <c r="M25" i="6"/>
  <c r="M27" i="6"/>
  <c r="AH42" i="6"/>
  <c r="T47" i="6" l="1"/>
  <c r="AD47" i="6" s="1"/>
  <c r="T54" i="6"/>
  <c r="AD54" i="6" s="1"/>
  <c r="T72" i="6"/>
  <c r="D72" i="6" s="1"/>
  <c r="AD72" i="6" s="1"/>
  <c r="T75" i="6"/>
  <c r="D75" i="6" s="1"/>
  <c r="AD75" i="6" s="1"/>
  <c r="T51" i="6"/>
  <c r="AD51" i="6" s="1"/>
  <c r="T49" i="6"/>
  <c r="AD49" i="6" s="1"/>
  <c r="T50" i="6"/>
  <c r="AD50" i="6" s="1"/>
  <c r="T26" i="6"/>
  <c r="AD26" i="6" s="1"/>
  <c r="T33" i="6"/>
  <c r="AD33" i="6" s="1"/>
  <c r="T29" i="6"/>
  <c r="AD29" i="6" s="1"/>
  <c r="T71" i="6"/>
  <c r="D71" i="6" s="1"/>
  <c r="AD71" i="6" s="1"/>
  <c r="AX86" i="5"/>
  <c r="AW90" i="5"/>
  <c r="AV95" i="5"/>
  <c r="AV83" i="5"/>
  <c r="AU86" i="5"/>
  <c r="AX60" i="5"/>
  <c r="AW59" i="5"/>
  <c r="AV58" i="5"/>
  <c r="C12" i="4"/>
  <c r="E31" i="5" s="1"/>
  <c r="AX97" i="5"/>
  <c r="AX85" i="5"/>
  <c r="AW89" i="5"/>
  <c r="AV94" i="5"/>
  <c r="AU97" i="5"/>
  <c r="AU85" i="5"/>
  <c r="AX59" i="5"/>
  <c r="AW58" i="5"/>
  <c r="AV57" i="5"/>
  <c r="AU49" i="5"/>
  <c r="AV60" i="5"/>
  <c r="AW91" i="5"/>
  <c r="AU58" i="5"/>
  <c r="AX96" i="5"/>
  <c r="AX84" i="5"/>
  <c r="AW88" i="5"/>
  <c r="AV93" i="5"/>
  <c r="AU96" i="5"/>
  <c r="AU84" i="5"/>
  <c r="AX58" i="5"/>
  <c r="AW57" i="5"/>
  <c r="AU67" i="5"/>
  <c r="AX95" i="5"/>
  <c r="AX83" i="5"/>
  <c r="AW87" i="5"/>
  <c r="AV92" i="5"/>
  <c r="AU95" i="5"/>
  <c r="AU83" i="5"/>
  <c r="AX57" i="5"/>
  <c r="AV67" i="5"/>
  <c r="AU66" i="5"/>
  <c r="AV61" i="5"/>
  <c r="AX94" i="5"/>
  <c r="AX82" i="5"/>
  <c r="AW86" i="5"/>
  <c r="AV91" i="5"/>
  <c r="AU94" i="5"/>
  <c r="AU82" i="5"/>
  <c r="AW67" i="5"/>
  <c r="AV66" i="5"/>
  <c r="AU65" i="5"/>
  <c r="AX62" i="5"/>
  <c r="AU87" i="5"/>
  <c r="AX93" i="5"/>
  <c r="AW97" i="5"/>
  <c r="AW85" i="5"/>
  <c r="AV90" i="5"/>
  <c r="AU93" i="5"/>
  <c r="AU57" i="5"/>
  <c r="AX67" i="5"/>
  <c r="AW66" i="5"/>
  <c r="AV65" i="5"/>
  <c r="AU64" i="5"/>
  <c r="AV96" i="5"/>
  <c r="AX92" i="5"/>
  <c r="AW96" i="5"/>
  <c r="AW84" i="5"/>
  <c r="AV89" i="5"/>
  <c r="AU92" i="5"/>
  <c r="AX66" i="5"/>
  <c r="AW65" i="5"/>
  <c r="AV64" i="5"/>
  <c r="AU63" i="5"/>
  <c r="AX64" i="5"/>
  <c r="AX91" i="5"/>
  <c r="AW95" i="5"/>
  <c r="AW83" i="5"/>
  <c r="AV88" i="5"/>
  <c r="AU91" i="5"/>
  <c r="AX65" i="5"/>
  <c r="AW64" i="5"/>
  <c r="AV63" i="5"/>
  <c r="AU62" i="5"/>
  <c r="AV62" i="5"/>
  <c r="AU59" i="5"/>
  <c r="AX61" i="5"/>
  <c r="AX90" i="5"/>
  <c r="AW94" i="5"/>
  <c r="AW82" i="5"/>
  <c r="AV87" i="5"/>
  <c r="AU90" i="5"/>
  <c r="AW63" i="5"/>
  <c r="AU61" i="5"/>
  <c r="AW60" i="5"/>
  <c r="AX89" i="5"/>
  <c r="AW93" i="5"/>
  <c r="AV82" i="5"/>
  <c r="AV86" i="5"/>
  <c r="AU89" i="5"/>
  <c r="AX63" i="5"/>
  <c r="AW62" i="5"/>
  <c r="AU60" i="5"/>
  <c r="AX87" i="5"/>
  <c r="AV59" i="5"/>
  <c r="AX88" i="5"/>
  <c r="AW92" i="5"/>
  <c r="AV97" i="5"/>
  <c r="AV85" i="5"/>
  <c r="AU88" i="5"/>
  <c r="AW61" i="5"/>
  <c r="AV84" i="5"/>
  <c r="AX52" i="5"/>
  <c r="AW50" i="5"/>
  <c r="AW49" i="5"/>
  <c r="AV52" i="5"/>
  <c r="AU52" i="5"/>
  <c r="C5" i="4"/>
  <c r="E30" i="5" s="1"/>
  <c r="AX51" i="5"/>
  <c r="AV49" i="5"/>
  <c r="AX50" i="5"/>
  <c r="AW51" i="5"/>
  <c r="AV51" i="5"/>
  <c r="AU51" i="5"/>
  <c r="AU50" i="5"/>
  <c r="AX49" i="5"/>
  <c r="AV50" i="5"/>
  <c r="AW52" i="5"/>
  <c r="C31" i="12"/>
  <c r="H32" i="5" s="1"/>
  <c r="C12" i="12"/>
  <c r="H31" i="5" s="1"/>
  <c r="C5" i="12"/>
  <c r="H30" i="5" s="1"/>
  <c r="C31" i="8"/>
  <c r="F32" i="5" s="1"/>
  <c r="C31" i="10"/>
  <c r="G32" i="5" s="1"/>
  <c r="C12" i="10"/>
  <c r="G31" i="5" s="1"/>
  <c r="C5" i="10"/>
  <c r="G30" i="5" s="1"/>
  <c r="C12" i="8"/>
  <c r="F31" i="5" s="1"/>
  <c r="C31" i="4"/>
  <c r="E32" i="5" s="1"/>
  <c r="C5" i="8"/>
  <c r="F30" i="5" s="1"/>
  <c r="T69" i="6"/>
  <c r="D69" i="6" s="1"/>
  <c r="AD69" i="6" s="1"/>
  <c r="T25" i="6"/>
  <c r="AD25" i="6" s="1"/>
  <c r="T24" i="6"/>
  <c r="AD24" i="6" s="1"/>
  <c r="T23" i="6"/>
  <c r="AD23" i="6" s="1"/>
  <c r="T70" i="6"/>
  <c r="T22" i="6"/>
  <c r="AD22" i="6" s="1"/>
  <c r="T28" i="6"/>
  <c r="AD28" i="6" s="1"/>
  <c r="T68" i="6"/>
  <c r="D68" i="6" s="1"/>
  <c r="AD68" i="6" s="1"/>
  <c r="T48" i="6"/>
  <c r="AD48" i="6" s="1"/>
  <c r="T27" i="6"/>
  <c r="AD27" i="6" s="1"/>
  <c r="T32" i="6"/>
  <c r="AD32" i="6" s="1"/>
  <c r="H56" i="6" l="1"/>
  <c r="AD56" i="6" s="1"/>
  <c r="U59" i="6" s="1"/>
  <c r="AE21" i="5" s="1"/>
  <c r="I30" i="5"/>
  <c r="AE30" i="5" s="1"/>
  <c r="AY60" i="5"/>
  <c r="AE60" i="5" s="1"/>
  <c r="AY51" i="5"/>
  <c r="AE51" i="5" s="1"/>
  <c r="AY89" i="5"/>
  <c r="AE89" i="5" s="1"/>
  <c r="AY65" i="5"/>
  <c r="AE65" i="5" s="1"/>
  <c r="AY52" i="5"/>
  <c r="AE52" i="5" s="1"/>
  <c r="AY82" i="5"/>
  <c r="AE82" i="5" s="1"/>
  <c r="AY62" i="5"/>
  <c r="AE62" i="5" s="1"/>
  <c r="AY94" i="5"/>
  <c r="AE94" i="5" s="1"/>
  <c r="AY58" i="5"/>
  <c r="AE58" i="5" s="1"/>
  <c r="AY93" i="5"/>
  <c r="AE93" i="5" s="1"/>
  <c r="AY86" i="5"/>
  <c r="AE86" i="5" s="1"/>
  <c r="I31" i="5"/>
  <c r="AE31" i="5" s="1"/>
  <c r="AY66" i="5"/>
  <c r="AE66" i="5" s="1"/>
  <c r="AY84" i="5"/>
  <c r="AE84" i="5" s="1"/>
  <c r="AY64" i="5"/>
  <c r="AE64" i="5" s="1"/>
  <c r="AY88" i="5"/>
  <c r="AE88" i="5" s="1"/>
  <c r="AY59" i="5"/>
  <c r="AE59" i="5" s="1"/>
  <c r="AY63" i="5"/>
  <c r="AE63" i="5" s="1"/>
  <c r="AY95" i="5"/>
  <c r="AE95" i="5" s="1"/>
  <c r="AY92" i="5"/>
  <c r="AE92" i="5" s="1"/>
  <c r="AY49" i="5"/>
  <c r="AE49" i="5" s="1"/>
  <c r="AY61" i="5"/>
  <c r="AE61" i="5" s="1"/>
  <c r="AY67" i="5"/>
  <c r="AE67" i="5" s="1"/>
  <c r="AY90" i="5"/>
  <c r="AE90" i="5" s="1"/>
  <c r="AY91" i="5"/>
  <c r="AE91" i="5" s="1"/>
  <c r="AY87" i="5"/>
  <c r="AE87" i="5" s="1"/>
  <c r="AY96" i="5"/>
  <c r="AE96" i="5" s="1"/>
  <c r="AY85" i="5"/>
  <c r="AE85" i="5" s="1"/>
  <c r="AY50" i="5"/>
  <c r="AE50" i="5" s="1"/>
  <c r="AY97" i="5"/>
  <c r="AE97" i="5" s="1"/>
  <c r="AY83" i="5"/>
  <c r="AE83" i="5" s="1"/>
  <c r="AY57" i="5"/>
  <c r="AE57" i="5" s="1"/>
  <c r="I32" i="5"/>
  <c r="AE32" i="5" s="1"/>
  <c r="Y70" i="6"/>
  <c r="D70" i="6" s="1"/>
  <c r="AD70" i="6" s="1"/>
  <c r="H77" i="6" s="1"/>
  <c r="AD77" i="6" s="1"/>
  <c r="AE22" i="5" s="1"/>
  <c r="AD35" i="6"/>
  <c r="U38" i="6" s="1"/>
  <c r="AE20" i="5" s="1"/>
  <c r="AR26" i="5" s="1"/>
  <c r="AR27" i="5" l="1"/>
  <c r="BD14" i="5"/>
  <c r="BD13" i="5"/>
  <c r="BD16" i="5"/>
  <c r="BD15" i="5"/>
  <c r="BD12" i="5" s="1"/>
  <c r="BD22" i="5"/>
  <c r="BD21" i="5"/>
  <c r="BD20" i="5"/>
  <c r="BD19" i="5"/>
  <c r="AR28" i="5"/>
  <c r="B7" i="11"/>
  <c r="B7" i="3"/>
  <c r="B7" i="7"/>
  <c r="B7" i="9"/>
  <c r="AD59" i="6"/>
  <c r="AD38" i="6"/>
  <c r="AR24" i="5" l="1"/>
  <c r="L25" i="5" s="1"/>
  <c r="BD18" i="5"/>
  <c r="B8" i="11"/>
  <c r="B8" i="9"/>
  <c r="B8" i="7"/>
  <c r="B8" i="3"/>
  <c r="E15" i="3" s="1"/>
  <c r="D15" i="3"/>
  <c r="B9" i="11"/>
  <c r="B9" i="9"/>
  <c r="B9" i="3"/>
  <c r="E87" i="7" s="1"/>
  <c r="H87" i="7" s="1"/>
  <c r="B9" i="7"/>
  <c r="D52" i="11"/>
  <c r="D81" i="11"/>
  <c r="D75" i="11"/>
  <c r="D51" i="11"/>
  <c r="D69" i="11"/>
  <c r="D93" i="11"/>
  <c r="D21" i="11"/>
  <c r="D27" i="11"/>
  <c r="D87" i="11"/>
  <c r="D15" i="11"/>
  <c r="D63" i="11"/>
  <c r="D39" i="11"/>
  <c r="D93" i="9"/>
  <c r="D45" i="9"/>
  <c r="D63" i="9"/>
  <c r="D39" i="9"/>
  <c r="D33" i="11"/>
  <c r="D87" i="9"/>
  <c r="D81" i="7"/>
  <c r="D33" i="9"/>
  <c r="D27" i="9"/>
  <c r="D52" i="7"/>
  <c r="D69" i="9"/>
  <c r="D52" i="9"/>
  <c r="D63" i="3"/>
  <c r="D64" i="3" s="1"/>
  <c r="D69" i="7"/>
  <c r="D15" i="9"/>
  <c r="D63" i="7"/>
  <c r="D51" i="3"/>
  <c r="D81" i="9"/>
  <c r="D45" i="11"/>
  <c r="D75" i="9"/>
  <c r="D52" i="3"/>
  <c r="D93" i="7"/>
  <c r="D87" i="7"/>
  <c r="D21" i="9"/>
  <c r="D75" i="7"/>
  <c r="D51" i="9"/>
  <c r="D27" i="3"/>
  <c r="D30" i="3" s="1"/>
  <c r="D33" i="3"/>
  <c r="D39" i="3"/>
  <c r="D21" i="3"/>
  <c r="D24" i="3" s="1"/>
  <c r="D45" i="3"/>
  <c r="D39" i="7"/>
  <c r="D45" i="7"/>
  <c r="D93" i="3"/>
  <c r="D87" i="3"/>
  <c r="D81" i="3"/>
  <c r="D75" i="3"/>
  <c r="D69" i="3"/>
  <c r="D27" i="7"/>
  <c r="D51" i="7"/>
  <c r="D33" i="7"/>
  <c r="D15" i="7"/>
  <c r="D21" i="7"/>
  <c r="L28" i="5" l="1"/>
  <c r="E41" i="7"/>
  <c r="H41" i="7" s="1"/>
  <c r="E47" i="9"/>
  <c r="J47" i="9" s="1"/>
  <c r="E41" i="11"/>
  <c r="H41" i="11" s="1"/>
  <c r="E22" i="3"/>
  <c r="G22" i="3" s="1"/>
  <c r="E29" i="3"/>
  <c r="G29" i="3" s="1"/>
  <c r="E18" i="7"/>
  <c r="F18" i="7" s="1"/>
  <c r="E19" i="7"/>
  <c r="F19" i="7" s="1"/>
  <c r="E22" i="11"/>
  <c r="F22" i="11" s="1"/>
  <c r="E35" i="7"/>
  <c r="I35" i="7" s="1"/>
  <c r="E21" i="9"/>
  <c r="G21" i="9" s="1"/>
  <c r="E23" i="7"/>
  <c r="F23" i="7" s="1"/>
  <c r="E15" i="9"/>
  <c r="C15" i="9" s="1"/>
  <c r="E24" i="7"/>
  <c r="F24" i="7" s="1"/>
  <c r="E45" i="9"/>
  <c r="C45" i="9" s="1"/>
  <c r="B45" i="9" s="1"/>
  <c r="E44" i="7"/>
  <c r="I44" i="7" s="1"/>
  <c r="E24" i="3"/>
  <c r="H24" i="3" s="1"/>
  <c r="E41" i="9"/>
  <c r="H41" i="9" s="1"/>
  <c r="E40" i="9"/>
  <c r="H40" i="9" s="1"/>
  <c r="E21" i="7"/>
  <c r="H21" i="7" s="1"/>
  <c r="E25" i="3"/>
  <c r="F25" i="3" s="1"/>
  <c r="E51" i="9"/>
  <c r="G51" i="9" s="1"/>
  <c r="E44" i="11"/>
  <c r="I44" i="11" s="1"/>
  <c r="E27" i="7"/>
  <c r="I27" i="7" s="1"/>
  <c r="E20" i="3"/>
  <c r="G20" i="3" s="1"/>
  <c r="E19" i="3"/>
  <c r="F19" i="3" s="1"/>
  <c r="E52" i="9"/>
  <c r="F52" i="9" s="1"/>
  <c r="E28" i="7"/>
  <c r="F28" i="7" s="1"/>
  <c r="E31" i="3"/>
  <c r="J31" i="3" s="1"/>
  <c r="E49" i="9"/>
  <c r="G49" i="9" s="1"/>
  <c r="E52" i="3"/>
  <c r="I52" i="3" s="1"/>
  <c r="E29" i="7"/>
  <c r="H29" i="7" s="1"/>
  <c r="E39" i="3"/>
  <c r="H39" i="3" s="1"/>
  <c r="E25" i="9"/>
  <c r="G25" i="9" s="1"/>
  <c r="E39" i="11"/>
  <c r="H39" i="11" s="1"/>
  <c r="E22" i="7"/>
  <c r="F22" i="7" s="1"/>
  <c r="E23" i="11"/>
  <c r="H23" i="11" s="1"/>
  <c r="E42" i="9"/>
  <c r="I42" i="9" s="1"/>
  <c r="E35" i="3"/>
  <c r="I35" i="3" s="1"/>
  <c r="E27" i="3"/>
  <c r="G27" i="3" s="1"/>
  <c r="E26" i="11"/>
  <c r="F26" i="11" s="1"/>
  <c r="E28" i="9"/>
  <c r="F28" i="9" s="1"/>
  <c r="E52" i="7"/>
  <c r="C52" i="7" s="1"/>
  <c r="B52" i="7" s="1"/>
  <c r="E37" i="7"/>
  <c r="F37" i="7" s="1"/>
  <c r="E47" i="11"/>
  <c r="G47" i="11" s="1"/>
  <c r="E34" i="9"/>
  <c r="I34" i="9" s="1"/>
  <c r="E17" i="7"/>
  <c r="J17" i="7" s="1"/>
  <c r="E46" i="7"/>
  <c r="G46" i="7" s="1"/>
  <c r="E19" i="11"/>
  <c r="I19" i="11" s="1"/>
  <c r="E38" i="11"/>
  <c r="J38" i="11" s="1"/>
  <c r="E50" i="7"/>
  <c r="F50" i="7" s="1"/>
  <c r="E46" i="3"/>
  <c r="H46" i="3" s="1"/>
  <c r="E34" i="3"/>
  <c r="G34" i="3" s="1"/>
  <c r="E16" i="3"/>
  <c r="F16" i="3" s="1"/>
  <c r="E87" i="3"/>
  <c r="J87" i="3" s="1"/>
  <c r="E25" i="7"/>
  <c r="F25" i="7" s="1"/>
  <c r="E32" i="7"/>
  <c r="G32" i="7" s="1"/>
  <c r="E45" i="3"/>
  <c r="J45" i="3" s="1"/>
  <c r="E44" i="9"/>
  <c r="I44" i="9" s="1"/>
  <c r="E30" i="9"/>
  <c r="G30" i="9" s="1"/>
  <c r="E16" i="11"/>
  <c r="J16" i="11" s="1"/>
  <c r="E36" i="7"/>
  <c r="G36" i="7" s="1"/>
  <c r="E49" i="7"/>
  <c r="J49" i="7" s="1"/>
  <c r="E48" i="9"/>
  <c r="J48" i="9" s="1"/>
  <c r="E36" i="11"/>
  <c r="J36" i="11" s="1"/>
  <c r="E32" i="3"/>
  <c r="F32" i="3" s="1"/>
  <c r="E51" i="3"/>
  <c r="G51" i="3" s="1"/>
  <c r="E51" i="7"/>
  <c r="F51" i="7" s="1"/>
  <c r="E48" i="3"/>
  <c r="G48" i="3" s="1"/>
  <c r="E42" i="11"/>
  <c r="G42" i="11" s="1"/>
  <c r="E27" i="11"/>
  <c r="H27" i="11" s="1"/>
  <c r="E84" i="9"/>
  <c r="I84" i="9" s="1"/>
  <c r="E44" i="3"/>
  <c r="J44" i="3" s="1"/>
  <c r="E47" i="7"/>
  <c r="H47" i="7" s="1"/>
  <c r="E25" i="11"/>
  <c r="I25" i="11" s="1"/>
  <c r="E32" i="9"/>
  <c r="F32" i="9" s="1"/>
  <c r="E31" i="11"/>
  <c r="J31" i="11" s="1"/>
  <c r="E47" i="3"/>
  <c r="J47" i="3" s="1"/>
  <c r="E83" i="11"/>
  <c r="G83" i="11" s="1"/>
  <c r="E90" i="11"/>
  <c r="J90" i="11" s="1"/>
  <c r="E26" i="7"/>
  <c r="G26" i="7" s="1"/>
  <c r="E41" i="3"/>
  <c r="G41" i="3" s="1"/>
  <c r="E28" i="11"/>
  <c r="I28" i="11" s="1"/>
  <c r="E49" i="11"/>
  <c r="I49" i="11" s="1"/>
  <c r="E43" i="11"/>
  <c r="J43" i="11" s="1"/>
  <c r="E77" i="7"/>
  <c r="G77" i="7" s="1"/>
  <c r="E72" i="9"/>
  <c r="H72" i="9" s="1"/>
  <c r="E63" i="7"/>
  <c r="J63" i="7" s="1"/>
  <c r="E87" i="9"/>
  <c r="I87" i="9" s="1"/>
  <c r="E40" i="7"/>
  <c r="G40" i="7" s="1"/>
  <c r="E50" i="3"/>
  <c r="G50" i="3" s="1"/>
  <c r="E38" i="7"/>
  <c r="J38" i="7" s="1"/>
  <c r="E33" i="3"/>
  <c r="H33" i="3" s="1"/>
  <c r="E43" i="3"/>
  <c r="I43" i="3" s="1"/>
  <c r="E37" i="11"/>
  <c r="G37" i="11" s="1"/>
  <c r="E50" i="9"/>
  <c r="F50" i="9" s="1"/>
  <c r="E30" i="11"/>
  <c r="F30" i="11" s="1"/>
  <c r="E46" i="9"/>
  <c r="G46" i="9" s="1"/>
  <c r="E40" i="3"/>
  <c r="G40" i="3" s="1"/>
  <c r="E15" i="11"/>
  <c r="J15" i="11" s="1"/>
  <c r="E15" i="7"/>
  <c r="H15" i="7" s="1"/>
  <c r="E20" i="7"/>
  <c r="I20" i="7" s="1"/>
  <c r="E31" i="7"/>
  <c r="F31" i="7" s="1"/>
  <c r="E37" i="9"/>
  <c r="G37" i="9" s="1"/>
  <c r="E38" i="9"/>
  <c r="F38" i="9" s="1"/>
  <c r="E43" i="9"/>
  <c r="F43" i="9" s="1"/>
  <c r="E34" i="11"/>
  <c r="G34" i="11" s="1"/>
  <c r="E84" i="7"/>
  <c r="G84" i="7" s="1"/>
  <c r="E26" i="3"/>
  <c r="F26" i="3" s="1"/>
  <c r="E45" i="7"/>
  <c r="G45" i="7" s="1"/>
  <c r="E39" i="7"/>
  <c r="G39" i="7" s="1"/>
  <c r="E28" i="3"/>
  <c r="H28" i="3" s="1"/>
  <c r="E51" i="11"/>
  <c r="C51" i="11" s="1"/>
  <c r="B51" i="11" s="1"/>
  <c r="E29" i="11"/>
  <c r="F29" i="11" s="1"/>
  <c r="E48" i="11"/>
  <c r="J48" i="11" s="1"/>
  <c r="E39" i="9"/>
  <c r="F39" i="9" s="1"/>
  <c r="E81" i="7"/>
  <c r="I81" i="7" s="1"/>
  <c r="E94" i="11"/>
  <c r="F94" i="11" s="1"/>
  <c r="E98" i="7"/>
  <c r="I98" i="7" s="1"/>
  <c r="E71" i="3"/>
  <c r="J71" i="3" s="1"/>
  <c r="E95" i="7"/>
  <c r="F95" i="7" s="1"/>
  <c r="E73" i="3"/>
  <c r="H73" i="3" s="1"/>
  <c r="E76" i="9"/>
  <c r="J76" i="9" s="1"/>
  <c r="E63" i="11"/>
  <c r="J63" i="11" s="1"/>
  <c r="E97" i="7"/>
  <c r="H97" i="7" s="1"/>
  <c r="E98" i="3"/>
  <c r="F98" i="3" s="1"/>
  <c r="E98" i="11"/>
  <c r="J98" i="11" s="1"/>
  <c r="E90" i="9"/>
  <c r="H90" i="9" s="1"/>
  <c r="E78" i="3"/>
  <c r="I78" i="3" s="1"/>
  <c r="E91" i="11"/>
  <c r="J91" i="11" s="1"/>
  <c r="E64" i="11"/>
  <c r="F64" i="11" s="1"/>
  <c r="E81" i="9"/>
  <c r="G81" i="9" s="1"/>
  <c r="E74" i="9"/>
  <c r="G74" i="9" s="1"/>
  <c r="E89" i="7"/>
  <c r="H89" i="7" s="1"/>
  <c r="E74" i="11"/>
  <c r="F74" i="11" s="1"/>
  <c r="E72" i="11"/>
  <c r="F72" i="11" s="1"/>
  <c r="E70" i="7"/>
  <c r="H70" i="7" s="1"/>
  <c r="E64" i="3"/>
  <c r="G64" i="3" s="1"/>
  <c r="E68" i="11"/>
  <c r="F68" i="11" s="1"/>
  <c r="E66" i="11"/>
  <c r="H66" i="11" s="1"/>
  <c r="E80" i="9"/>
  <c r="J80" i="9" s="1"/>
  <c r="E82" i="11"/>
  <c r="H82" i="11" s="1"/>
  <c r="E69" i="11"/>
  <c r="F69" i="11" s="1"/>
  <c r="E91" i="9"/>
  <c r="I91" i="9" s="1"/>
  <c r="E74" i="7"/>
  <c r="H74" i="7" s="1"/>
  <c r="E86" i="11"/>
  <c r="G86" i="11" s="1"/>
  <c r="E91" i="3"/>
  <c r="G91" i="3" s="1"/>
  <c r="E97" i="3"/>
  <c r="I97" i="3" s="1"/>
  <c r="E78" i="11"/>
  <c r="F78" i="11" s="1"/>
  <c r="E64" i="9"/>
  <c r="H64" i="9" s="1"/>
  <c r="E73" i="9"/>
  <c r="F73" i="9" s="1"/>
  <c r="E72" i="7"/>
  <c r="J72" i="7" s="1"/>
  <c r="E86" i="9"/>
  <c r="F86" i="9" s="1"/>
  <c r="E80" i="7"/>
  <c r="I80" i="7" s="1"/>
  <c r="E42" i="7"/>
  <c r="F42" i="7" s="1"/>
  <c r="E43" i="7"/>
  <c r="J43" i="7" s="1"/>
  <c r="E16" i="7"/>
  <c r="H16" i="7" s="1"/>
  <c r="E34" i="7"/>
  <c r="J34" i="7" s="1"/>
  <c r="E36" i="3"/>
  <c r="G36" i="3" s="1"/>
  <c r="E36" i="9"/>
  <c r="J36" i="9" s="1"/>
  <c r="E52" i="11"/>
  <c r="C52" i="11" s="1"/>
  <c r="B52" i="11" s="1"/>
  <c r="E33" i="11"/>
  <c r="J33" i="11" s="1"/>
  <c r="E50" i="11"/>
  <c r="F50" i="11" s="1"/>
  <c r="E23" i="9"/>
  <c r="H23" i="9" s="1"/>
  <c r="E18" i="3"/>
  <c r="F18" i="3" s="1"/>
  <c r="E78" i="9"/>
  <c r="G78" i="9" s="1"/>
  <c r="E89" i="9"/>
  <c r="I89" i="9" s="1"/>
  <c r="E84" i="11"/>
  <c r="F84" i="11" s="1"/>
  <c r="E90" i="7"/>
  <c r="J90" i="7" s="1"/>
  <c r="E76" i="7"/>
  <c r="J76" i="7" s="1"/>
  <c r="E76" i="3"/>
  <c r="F76" i="3" s="1"/>
  <c r="E71" i="11"/>
  <c r="F71" i="11" s="1"/>
  <c r="E75" i="9"/>
  <c r="I75" i="9" s="1"/>
  <c r="E83" i="3"/>
  <c r="J83" i="3" s="1"/>
  <c r="E85" i="7"/>
  <c r="H85" i="7" s="1"/>
  <c r="E95" i="3"/>
  <c r="I95" i="3" s="1"/>
  <c r="E73" i="7"/>
  <c r="H73" i="7" s="1"/>
  <c r="E67" i="9"/>
  <c r="F67" i="9" s="1"/>
  <c r="E70" i="11"/>
  <c r="F70" i="11" s="1"/>
  <c r="E63" i="9"/>
  <c r="I63" i="9" s="1"/>
  <c r="E94" i="7"/>
  <c r="I94" i="7" s="1"/>
  <c r="E90" i="3"/>
  <c r="F90" i="3" s="1"/>
  <c r="E78" i="7"/>
  <c r="G78" i="7" s="1"/>
  <c r="E33" i="7"/>
  <c r="C33" i="7" s="1"/>
  <c r="B33" i="7" s="1"/>
  <c r="E38" i="3"/>
  <c r="F38" i="3" s="1"/>
  <c r="E30" i="7"/>
  <c r="H30" i="7" s="1"/>
  <c r="E48" i="7"/>
  <c r="I48" i="7" s="1"/>
  <c r="E49" i="3"/>
  <c r="H49" i="3" s="1"/>
  <c r="E37" i="3"/>
  <c r="I37" i="3" s="1"/>
  <c r="E45" i="11"/>
  <c r="J45" i="11" s="1"/>
  <c r="E18" i="9"/>
  <c r="I18" i="9" s="1"/>
  <c r="E21" i="11"/>
  <c r="F21" i="11" s="1"/>
  <c r="E32" i="11"/>
  <c r="J32" i="11" s="1"/>
  <c r="E17" i="9"/>
  <c r="F17" i="9" s="1"/>
  <c r="E18" i="11"/>
  <c r="J18" i="11" s="1"/>
  <c r="E85" i="3"/>
  <c r="G85" i="3" s="1"/>
  <c r="E88" i="3"/>
  <c r="J88" i="3" s="1"/>
  <c r="E89" i="11"/>
  <c r="F89" i="11" s="1"/>
  <c r="E81" i="11"/>
  <c r="J81" i="11" s="1"/>
  <c r="E76" i="11"/>
  <c r="F76" i="11" s="1"/>
  <c r="E92" i="9"/>
  <c r="F92" i="9" s="1"/>
  <c r="E82" i="3"/>
  <c r="G82" i="3" s="1"/>
  <c r="E84" i="3"/>
  <c r="G84" i="3" s="1"/>
  <c r="E88" i="9"/>
  <c r="H88" i="9" s="1"/>
  <c r="E88" i="7"/>
  <c r="G88" i="7" s="1"/>
  <c r="E77" i="9"/>
  <c r="F77" i="9" s="1"/>
  <c r="E69" i="9"/>
  <c r="H69" i="9" s="1"/>
  <c r="E65" i="3"/>
  <c r="G65" i="3" s="1"/>
  <c r="E92" i="11"/>
  <c r="J92" i="11" s="1"/>
  <c r="E68" i="9"/>
  <c r="H68" i="9" s="1"/>
  <c r="E91" i="7"/>
  <c r="H91" i="7" s="1"/>
  <c r="E86" i="3"/>
  <c r="I86" i="3" s="1"/>
  <c r="E66" i="7"/>
  <c r="F66" i="7" s="1"/>
  <c r="E93" i="3"/>
  <c r="H93" i="3" s="1"/>
  <c r="E75" i="3"/>
  <c r="F75" i="3" s="1"/>
  <c r="E68" i="7"/>
  <c r="F68" i="7" s="1"/>
  <c r="E96" i="9"/>
  <c r="I96" i="9" s="1"/>
  <c r="E80" i="11"/>
  <c r="J80" i="11" s="1"/>
  <c r="E83" i="9"/>
  <c r="H83" i="9" s="1"/>
  <c r="E88" i="11"/>
  <c r="F88" i="11" s="1"/>
  <c r="E97" i="11"/>
  <c r="H97" i="11" s="1"/>
  <c r="E92" i="7"/>
  <c r="F92" i="7" s="1"/>
  <c r="E94" i="3"/>
  <c r="F94" i="3" s="1"/>
  <c r="E82" i="9"/>
  <c r="I82" i="9" s="1"/>
  <c r="E95" i="9"/>
  <c r="G95" i="9" s="1"/>
  <c r="E67" i="7"/>
  <c r="F67" i="7" s="1"/>
  <c r="E96" i="7"/>
  <c r="G96" i="7" s="1"/>
  <c r="E67" i="11"/>
  <c r="G67" i="11" s="1"/>
  <c r="E92" i="3"/>
  <c r="G92" i="3" s="1"/>
  <c r="E79" i="3"/>
  <c r="G79" i="3" s="1"/>
  <c r="E86" i="7"/>
  <c r="J86" i="7" s="1"/>
  <c r="E69" i="7"/>
  <c r="G69" i="7" s="1"/>
  <c r="E96" i="3"/>
  <c r="I96" i="3" s="1"/>
  <c r="E97" i="9"/>
  <c r="G97" i="9" s="1"/>
  <c r="E77" i="3"/>
  <c r="I77" i="3" s="1"/>
  <c r="E93" i="11"/>
  <c r="H93" i="11" s="1"/>
  <c r="E94" i="9"/>
  <c r="J94" i="9" s="1"/>
  <c r="E70" i="3"/>
  <c r="H70" i="3" s="1"/>
  <c r="E87" i="11"/>
  <c r="I87" i="11" s="1"/>
  <c r="E77" i="11"/>
  <c r="F77" i="11" s="1"/>
  <c r="E93" i="7"/>
  <c r="H93" i="7" s="1"/>
  <c r="E71" i="9"/>
  <c r="G71" i="9" s="1"/>
  <c r="E79" i="7"/>
  <c r="J79" i="7" s="1"/>
  <c r="E70" i="9"/>
  <c r="G70" i="9" s="1"/>
  <c r="E66" i="3"/>
  <c r="I66" i="3" s="1"/>
  <c r="E67" i="3"/>
  <c r="G67" i="3" s="1"/>
  <c r="E65" i="7"/>
  <c r="F65" i="7" s="1"/>
  <c r="E79" i="11"/>
  <c r="F79" i="11" s="1"/>
  <c r="E74" i="3"/>
  <c r="G74" i="3" s="1"/>
  <c r="E68" i="3"/>
  <c r="J68" i="3" s="1"/>
  <c r="E93" i="9"/>
  <c r="J93" i="9" s="1"/>
  <c r="E69" i="3"/>
  <c r="G69" i="3" s="1"/>
  <c r="E80" i="3"/>
  <c r="G80" i="3" s="1"/>
  <c r="E75" i="7"/>
  <c r="H75" i="7" s="1"/>
  <c r="E65" i="9"/>
  <c r="I65" i="9" s="1"/>
  <c r="E66" i="9"/>
  <c r="H66" i="9" s="1"/>
  <c r="E83" i="7"/>
  <c r="J83" i="7" s="1"/>
  <c r="E98" i="9"/>
  <c r="J98" i="9" s="1"/>
  <c r="E82" i="7"/>
  <c r="F82" i="7" s="1"/>
  <c r="E79" i="9"/>
  <c r="J79" i="9" s="1"/>
  <c r="E17" i="3"/>
  <c r="G17" i="3" s="1"/>
  <c r="E22" i="9"/>
  <c r="J22" i="9" s="1"/>
  <c r="E26" i="9"/>
  <c r="G26" i="9" s="1"/>
  <c r="E19" i="9"/>
  <c r="J19" i="9" s="1"/>
  <c r="E40" i="11"/>
  <c r="J40" i="11" s="1"/>
  <c r="E16" i="9"/>
  <c r="F16" i="9" s="1"/>
  <c r="E35" i="9"/>
  <c r="G35" i="9" s="1"/>
  <c r="E21" i="3"/>
  <c r="G21" i="3" s="1"/>
  <c r="E35" i="11"/>
  <c r="J35" i="11" s="1"/>
  <c r="E20" i="9"/>
  <c r="J20" i="9" s="1"/>
  <c r="E27" i="9"/>
  <c r="J27" i="9" s="1"/>
  <c r="E29" i="9"/>
  <c r="J29" i="9" s="1"/>
  <c r="E30" i="3"/>
  <c r="I30" i="3" s="1"/>
  <c r="E42" i="3"/>
  <c r="J42" i="3" s="1"/>
  <c r="E33" i="9"/>
  <c r="C33" i="9" s="1"/>
  <c r="B33" i="9" s="1"/>
  <c r="E24" i="9"/>
  <c r="H24" i="9" s="1"/>
  <c r="E31" i="9"/>
  <c r="F31" i="9" s="1"/>
  <c r="E17" i="11"/>
  <c r="G17" i="11" s="1"/>
  <c r="E20" i="11"/>
  <c r="G20" i="11" s="1"/>
  <c r="E46" i="11"/>
  <c r="J46" i="11" s="1"/>
  <c r="E24" i="11"/>
  <c r="G24" i="11" s="1"/>
  <c r="E23" i="3"/>
  <c r="J23" i="3" s="1"/>
  <c r="G87" i="7"/>
  <c r="E63" i="3"/>
  <c r="G63" i="3" s="1"/>
  <c r="E65" i="11"/>
  <c r="E85" i="11"/>
  <c r="E95" i="11"/>
  <c r="E64" i="7"/>
  <c r="E73" i="11"/>
  <c r="E81" i="3"/>
  <c r="C81" i="3" s="1"/>
  <c r="B81" i="3" s="1"/>
  <c r="E85" i="9"/>
  <c r="E75" i="11"/>
  <c r="C75" i="11" s="1"/>
  <c r="B75" i="11" s="1"/>
  <c r="E89" i="3"/>
  <c r="E72" i="3"/>
  <c r="E96" i="11"/>
  <c r="J87" i="7"/>
  <c r="E71" i="7"/>
  <c r="I71" i="7" s="1"/>
  <c r="I87" i="7"/>
  <c r="F87" i="7"/>
  <c r="F15" i="3"/>
  <c r="G15" i="3"/>
  <c r="I15" i="3"/>
  <c r="D68" i="11"/>
  <c r="D66" i="11"/>
  <c r="D65" i="11"/>
  <c r="D64" i="11"/>
  <c r="D17" i="11"/>
  <c r="D88" i="11"/>
  <c r="D92" i="11"/>
  <c r="D89" i="11"/>
  <c r="D90" i="11"/>
  <c r="D26" i="11"/>
  <c r="D94" i="11"/>
  <c r="D95" i="11"/>
  <c r="D98" i="11"/>
  <c r="D96" i="11"/>
  <c r="D71" i="11"/>
  <c r="D70" i="11"/>
  <c r="D72" i="11"/>
  <c r="D73" i="11"/>
  <c r="D79" i="11"/>
  <c r="D77" i="11"/>
  <c r="D76" i="11"/>
  <c r="D84" i="11"/>
  <c r="D83" i="11"/>
  <c r="D82" i="11"/>
  <c r="D86" i="11"/>
  <c r="D85" i="11"/>
  <c r="H15" i="3"/>
  <c r="J15" i="3"/>
  <c r="D26" i="3"/>
  <c r="D35" i="3"/>
  <c r="D47" i="3"/>
  <c r="D34" i="3"/>
  <c r="D50" i="3"/>
  <c r="D49" i="3"/>
  <c r="D43" i="3"/>
  <c r="D25" i="3"/>
  <c r="D31" i="3"/>
  <c r="D50" i="9"/>
  <c r="D46" i="9"/>
  <c r="D49" i="9"/>
  <c r="D48" i="9"/>
  <c r="D47" i="9"/>
  <c r="D32" i="3"/>
  <c r="D64" i="7"/>
  <c r="D67" i="7"/>
  <c r="D68" i="7"/>
  <c r="D65" i="7"/>
  <c r="D66" i="7"/>
  <c r="D98" i="9"/>
  <c r="D96" i="9"/>
  <c r="D95" i="9"/>
  <c r="D97" i="9"/>
  <c r="D94" i="9"/>
  <c r="D44" i="3"/>
  <c r="D36" i="3"/>
  <c r="D20" i="9"/>
  <c r="D16" i="9"/>
  <c r="D17" i="9"/>
  <c r="D18" i="9"/>
  <c r="D19" i="9"/>
  <c r="D41" i="11"/>
  <c r="D40" i="11"/>
  <c r="D44" i="11"/>
  <c r="D43" i="11"/>
  <c r="D42" i="11"/>
  <c r="D71" i="7"/>
  <c r="D73" i="7"/>
  <c r="D72" i="7"/>
  <c r="D70" i="7"/>
  <c r="D74" i="7"/>
  <c r="D79" i="7"/>
  <c r="D76" i="7"/>
  <c r="D80" i="7"/>
  <c r="D78" i="7"/>
  <c r="D77" i="7"/>
  <c r="D70" i="9"/>
  <c r="D73" i="9"/>
  <c r="D72" i="9"/>
  <c r="D71" i="9"/>
  <c r="D74" i="9"/>
  <c r="D37" i="3"/>
  <c r="D38" i="3"/>
  <c r="D46" i="3"/>
  <c r="D23" i="9"/>
  <c r="D22" i="9"/>
  <c r="D26" i="9"/>
  <c r="D25" i="9"/>
  <c r="D24" i="9"/>
  <c r="C87" i="7"/>
  <c r="B87" i="7" s="1"/>
  <c r="D91" i="7"/>
  <c r="D92" i="7"/>
  <c r="C92" i="7" s="1"/>
  <c r="B92" i="7" s="1"/>
  <c r="D90" i="7"/>
  <c r="D89" i="7"/>
  <c r="D88" i="7"/>
  <c r="D32" i="9"/>
  <c r="D29" i="9"/>
  <c r="D30" i="9"/>
  <c r="D28" i="9"/>
  <c r="C28" i="9" s="1"/>
  <c r="D31" i="9"/>
  <c r="D48" i="3"/>
  <c r="D96" i="7"/>
  <c r="D94" i="7"/>
  <c r="D95" i="7"/>
  <c r="D97" i="7"/>
  <c r="D98" i="7"/>
  <c r="D67" i="11"/>
  <c r="D91" i="11"/>
  <c r="D23" i="11"/>
  <c r="D22" i="11"/>
  <c r="D25" i="11"/>
  <c r="D24" i="11"/>
  <c r="D36" i="9"/>
  <c r="D35" i="9"/>
  <c r="D38" i="9"/>
  <c r="D34" i="9"/>
  <c r="D37" i="9"/>
  <c r="D97" i="11"/>
  <c r="D85" i="7"/>
  <c r="D83" i="7"/>
  <c r="D84" i="7"/>
  <c r="D82" i="7"/>
  <c r="D86" i="7"/>
  <c r="D78" i="9"/>
  <c r="D80" i="9"/>
  <c r="D77" i="9"/>
  <c r="D76" i="9"/>
  <c r="D79" i="9"/>
  <c r="D91" i="9"/>
  <c r="D88" i="9"/>
  <c r="D89" i="9"/>
  <c r="D90" i="9"/>
  <c r="D92" i="9"/>
  <c r="D40" i="3"/>
  <c r="D78" i="11"/>
  <c r="D80" i="11"/>
  <c r="D41" i="3"/>
  <c r="D42" i="3"/>
  <c r="D49" i="11"/>
  <c r="D47" i="11"/>
  <c r="D48" i="11"/>
  <c r="D46" i="11"/>
  <c r="D50" i="11"/>
  <c r="D38" i="11"/>
  <c r="D36" i="11"/>
  <c r="D35" i="11"/>
  <c r="D37" i="11"/>
  <c r="D34" i="11"/>
  <c r="H33" i="11"/>
  <c r="G33" i="11"/>
  <c r="D22" i="3"/>
  <c r="D74" i="11"/>
  <c r="D32" i="11"/>
  <c r="D28" i="11"/>
  <c r="D29" i="11"/>
  <c r="D31" i="11"/>
  <c r="D30" i="11"/>
  <c r="D29" i="3"/>
  <c r="D23" i="3"/>
  <c r="H44" i="11"/>
  <c r="G44" i="11"/>
  <c r="D19" i="11"/>
  <c r="D16" i="11"/>
  <c r="D18" i="11"/>
  <c r="D20" i="11"/>
  <c r="D44" i="9"/>
  <c r="D40" i="9"/>
  <c r="D42" i="9"/>
  <c r="D41" i="9"/>
  <c r="D43" i="9"/>
  <c r="D28" i="3"/>
  <c r="D82" i="9"/>
  <c r="D84" i="9"/>
  <c r="D83" i="9"/>
  <c r="D85" i="9"/>
  <c r="D86" i="9"/>
  <c r="D65" i="9"/>
  <c r="D64" i="9"/>
  <c r="D66" i="9"/>
  <c r="D68" i="9"/>
  <c r="D67" i="9"/>
  <c r="D74" i="3"/>
  <c r="D70" i="3"/>
  <c r="D71" i="3"/>
  <c r="D72" i="3"/>
  <c r="D73" i="3"/>
  <c r="D83" i="3"/>
  <c r="D84" i="3"/>
  <c r="D85" i="3"/>
  <c r="D86" i="3"/>
  <c r="D82" i="3"/>
  <c r="D19" i="7"/>
  <c r="D18" i="7"/>
  <c r="D16" i="7"/>
  <c r="D17" i="7"/>
  <c r="D20" i="7"/>
  <c r="J37" i="7"/>
  <c r="D92" i="3"/>
  <c r="D90" i="3"/>
  <c r="D91" i="3"/>
  <c r="D88" i="3"/>
  <c r="D89" i="3"/>
  <c r="D98" i="3"/>
  <c r="D94" i="3"/>
  <c r="D95" i="3"/>
  <c r="D96" i="3"/>
  <c r="D97" i="3"/>
  <c r="I41" i="7"/>
  <c r="D37" i="7"/>
  <c r="D38" i="7"/>
  <c r="D34" i="7"/>
  <c r="D36" i="7"/>
  <c r="D35" i="7"/>
  <c r="D31" i="7"/>
  <c r="D32" i="7"/>
  <c r="D28" i="7"/>
  <c r="D30" i="7"/>
  <c r="D29" i="7"/>
  <c r="D80" i="3"/>
  <c r="D77" i="3"/>
  <c r="D76" i="3"/>
  <c r="D78" i="3"/>
  <c r="D79" i="3"/>
  <c r="D49" i="7"/>
  <c r="D47" i="7"/>
  <c r="D48" i="7"/>
  <c r="D46" i="7"/>
  <c r="D50" i="7"/>
  <c r="D67" i="3"/>
  <c r="D65" i="3"/>
  <c r="D66" i="3"/>
  <c r="D68" i="3"/>
  <c r="D18" i="3"/>
  <c r="C15" i="3"/>
  <c r="D17" i="3"/>
  <c r="D16" i="3"/>
  <c r="D19" i="3"/>
  <c r="D20" i="3"/>
  <c r="D43" i="7"/>
  <c r="D42" i="7"/>
  <c r="D40" i="7"/>
  <c r="D44" i="7"/>
  <c r="D41" i="7"/>
  <c r="D25" i="7"/>
  <c r="D26" i="7"/>
  <c r="D24" i="7"/>
  <c r="D22" i="7"/>
  <c r="D23" i="7"/>
  <c r="H37" i="7" l="1"/>
  <c r="I33" i="11"/>
  <c r="F36" i="7"/>
  <c r="C33" i="11"/>
  <c r="B33" i="11" s="1"/>
  <c r="H20" i="7"/>
  <c r="I37" i="7"/>
  <c r="C63" i="7"/>
  <c r="B63" i="7" s="1"/>
  <c r="H82" i="3"/>
  <c r="H63" i="11"/>
  <c r="G74" i="7"/>
  <c r="H17" i="7"/>
  <c r="J18" i="7"/>
  <c r="C41" i="11"/>
  <c r="B41" i="11" s="1"/>
  <c r="C71" i="9"/>
  <c r="B71" i="9" s="1"/>
  <c r="C78" i="9"/>
  <c r="B78" i="9" s="1"/>
  <c r="C69" i="11"/>
  <c r="B69" i="11" s="1"/>
  <c r="C64" i="11"/>
  <c r="C63" i="11"/>
  <c r="B63" i="11" s="1"/>
  <c r="C66" i="3"/>
  <c r="B66" i="3" s="1"/>
  <c r="G47" i="9"/>
  <c r="F47" i="9"/>
  <c r="F52" i="7"/>
  <c r="F41" i="7"/>
  <c r="H47" i="9"/>
  <c r="J47" i="11"/>
  <c r="C41" i="7"/>
  <c r="B41" i="7" s="1"/>
  <c r="H36" i="7"/>
  <c r="J41" i="7"/>
  <c r="G28" i="9"/>
  <c r="I47" i="9"/>
  <c r="I36" i="7"/>
  <c r="G41" i="7"/>
  <c r="H28" i="9"/>
  <c r="J36" i="7"/>
  <c r="I22" i="3"/>
  <c r="C90" i="9"/>
  <c r="B90" i="9" s="1"/>
  <c r="C91" i="9"/>
  <c r="B91" i="9" s="1"/>
  <c r="F63" i="11"/>
  <c r="J77" i="7"/>
  <c r="H98" i="3"/>
  <c r="G64" i="11"/>
  <c r="F90" i="9"/>
  <c r="F63" i="7"/>
  <c r="G38" i="9"/>
  <c r="C36" i="11"/>
  <c r="B36" i="11" s="1"/>
  <c r="I47" i="11"/>
  <c r="C38" i="11"/>
  <c r="B38" i="11" s="1"/>
  <c r="F47" i="11"/>
  <c r="G17" i="7"/>
  <c r="H47" i="11"/>
  <c r="F17" i="7"/>
  <c r="C45" i="7"/>
  <c r="B45" i="7" s="1"/>
  <c r="J30" i="7"/>
  <c r="F30" i="7"/>
  <c r="F48" i="9"/>
  <c r="H18" i="7"/>
  <c r="C29" i="3"/>
  <c r="B29" i="3" s="1"/>
  <c r="J19" i="3"/>
  <c r="C47" i="11"/>
  <c r="B47" i="11" s="1"/>
  <c r="C19" i="7"/>
  <c r="B19" i="7" s="1"/>
  <c r="J41" i="11"/>
  <c r="I41" i="11"/>
  <c r="C51" i="7"/>
  <c r="B51" i="7" s="1"/>
  <c r="G22" i="11"/>
  <c r="H29" i="3"/>
  <c r="H43" i="11"/>
  <c r="G28" i="7"/>
  <c r="F22" i="3"/>
  <c r="G52" i="9"/>
  <c r="I28" i="7"/>
  <c r="F43" i="11"/>
  <c r="G18" i="7"/>
  <c r="G43" i="11"/>
  <c r="I18" i="7"/>
  <c r="C27" i="7"/>
  <c r="B27" i="7" s="1"/>
  <c r="J20" i="3"/>
  <c r="C67" i="3"/>
  <c r="B67" i="3" s="1"/>
  <c r="H97" i="3"/>
  <c r="C65" i="3"/>
  <c r="G51" i="7"/>
  <c r="J51" i="7"/>
  <c r="J40" i="9"/>
  <c r="F52" i="3"/>
  <c r="G45" i="11"/>
  <c r="F40" i="9"/>
  <c r="G40" i="9"/>
  <c r="C24" i="7"/>
  <c r="B24" i="7" s="1"/>
  <c r="J39" i="7"/>
  <c r="H30" i="9"/>
  <c r="C21" i="7"/>
  <c r="B21" i="7" s="1"/>
  <c r="C24" i="3"/>
  <c r="B24" i="3" s="1"/>
  <c r="J52" i="3"/>
  <c r="H33" i="7"/>
  <c r="I45" i="7"/>
  <c r="F38" i="7"/>
  <c r="H45" i="7"/>
  <c r="I40" i="9"/>
  <c r="I48" i="9"/>
  <c r="I37" i="9"/>
  <c r="C37" i="7"/>
  <c r="B37" i="7" s="1"/>
  <c r="F41" i="11"/>
  <c r="G19" i="9"/>
  <c r="G31" i="7"/>
  <c r="J28" i="11"/>
  <c r="J24" i="7"/>
  <c r="G24" i="7"/>
  <c r="F45" i="7"/>
  <c r="I38" i="7"/>
  <c r="C46" i="9"/>
  <c r="B46" i="9" s="1"/>
  <c r="G32" i="9"/>
  <c r="F69" i="7"/>
  <c r="G29" i="7"/>
  <c r="I25" i="7"/>
  <c r="C80" i="11"/>
  <c r="B80" i="11" s="1"/>
  <c r="H22" i="11"/>
  <c r="C76" i="7"/>
  <c r="B76" i="7" s="1"/>
  <c r="H31" i="3"/>
  <c r="J28" i="3"/>
  <c r="F48" i="3"/>
  <c r="J29" i="7"/>
  <c r="J25" i="7"/>
  <c r="C98" i="3"/>
  <c r="B98" i="3" s="1"/>
  <c r="I43" i="11"/>
  <c r="J22" i="11"/>
  <c r="H19" i="3"/>
  <c r="I48" i="3"/>
  <c r="G47" i="7"/>
  <c r="G25" i="7"/>
  <c r="H25" i="7"/>
  <c r="C28" i="7"/>
  <c r="B28" i="7" s="1"/>
  <c r="G29" i="11"/>
  <c r="H51" i="7"/>
  <c r="I47" i="7"/>
  <c r="J28" i="7"/>
  <c r="F97" i="3"/>
  <c r="C87" i="3"/>
  <c r="B87" i="3" s="1"/>
  <c r="J72" i="11"/>
  <c r="J47" i="7"/>
  <c r="C25" i="7"/>
  <c r="B25" i="7" s="1"/>
  <c r="I51" i="7"/>
  <c r="C47" i="7"/>
  <c r="B47" i="7" s="1"/>
  <c r="C38" i="7"/>
  <c r="B38" i="7" s="1"/>
  <c r="F47" i="7"/>
  <c r="H38" i="7"/>
  <c r="C28" i="3"/>
  <c r="B28" i="3" s="1"/>
  <c r="C37" i="3"/>
  <c r="B37" i="3" s="1"/>
  <c r="G97" i="3"/>
  <c r="G19" i="7"/>
  <c r="I46" i="3"/>
  <c r="I19" i="7"/>
  <c r="G43" i="7"/>
  <c r="G39" i="3"/>
  <c r="J19" i="7"/>
  <c r="I21" i="7"/>
  <c r="I39" i="3"/>
  <c r="I28" i="3"/>
  <c r="G63" i="7"/>
  <c r="F21" i="7"/>
  <c r="I63" i="7"/>
  <c r="H19" i="7"/>
  <c r="J21" i="7"/>
  <c r="C19" i="3"/>
  <c r="B19" i="3" s="1"/>
  <c r="C97" i="3"/>
  <c r="B97" i="3" s="1"/>
  <c r="C77" i="7"/>
  <c r="B77" i="7" s="1"/>
  <c r="G52" i="3"/>
  <c r="H63" i="7"/>
  <c r="C22" i="11"/>
  <c r="B22" i="11" s="1"/>
  <c r="J87" i="9"/>
  <c r="G38" i="7"/>
  <c r="F87" i="9"/>
  <c r="C72" i="11"/>
  <c r="B72" i="11" s="1"/>
  <c r="G87" i="9"/>
  <c r="H50" i="3"/>
  <c r="G21" i="7"/>
  <c r="C18" i="7"/>
  <c r="B18" i="7" s="1"/>
  <c r="F39" i="3"/>
  <c r="J30" i="9"/>
  <c r="J25" i="3"/>
  <c r="H16" i="11"/>
  <c r="H32" i="9"/>
  <c r="H42" i="9"/>
  <c r="I24" i="11"/>
  <c r="F46" i="9"/>
  <c r="C25" i="3"/>
  <c r="B25" i="3" s="1"/>
  <c r="C89" i="11"/>
  <c r="B89" i="11" s="1"/>
  <c r="H47" i="3"/>
  <c r="I46" i="9"/>
  <c r="H44" i="7"/>
  <c r="C30" i="11"/>
  <c r="B30" i="11" s="1"/>
  <c r="C83" i="7"/>
  <c r="B83" i="7" s="1"/>
  <c r="H52" i="7"/>
  <c r="G44" i="7"/>
  <c r="C44" i="9"/>
  <c r="B44" i="9" s="1"/>
  <c r="C81" i="7"/>
  <c r="B81" i="7" s="1"/>
  <c r="G41" i="9"/>
  <c r="I22" i="11"/>
  <c r="G90" i="11"/>
  <c r="H87" i="9"/>
  <c r="J42" i="9"/>
  <c r="I17" i="9"/>
  <c r="C40" i="9"/>
  <c r="B40" i="9" s="1"/>
  <c r="H17" i="9"/>
  <c r="F41" i="9"/>
  <c r="G91" i="11"/>
  <c r="F40" i="7"/>
  <c r="J40" i="7"/>
  <c r="I22" i="7"/>
  <c r="I52" i="7"/>
  <c r="C32" i="7"/>
  <c r="B32" i="7" s="1"/>
  <c r="J44" i="7"/>
  <c r="C27" i="11"/>
  <c r="B27" i="11" s="1"/>
  <c r="J39" i="11"/>
  <c r="J26" i="11"/>
  <c r="J41" i="9"/>
  <c r="C24" i="9"/>
  <c r="B24" i="9" s="1"/>
  <c r="H38" i="11"/>
  <c r="H28" i="11"/>
  <c r="C15" i="11"/>
  <c r="H86" i="11"/>
  <c r="I27" i="3"/>
  <c r="I88" i="11"/>
  <c r="H37" i="11"/>
  <c r="G16" i="11"/>
  <c r="J27" i="3"/>
  <c r="F81" i="7"/>
  <c r="G42" i="9"/>
  <c r="H30" i="11"/>
  <c r="I23" i="7"/>
  <c r="C42" i="9"/>
  <c r="B42" i="9" s="1"/>
  <c r="H34" i="7"/>
  <c r="F44" i="7"/>
  <c r="C68" i="9"/>
  <c r="G24" i="9"/>
  <c r="I38" i="11"/>
  <c r="F34" i="7"/>
  <c r="J32" i="7"/>
  <c r="J52" i="7"/>
  <c r="C85" i="3"/>
  <c r="B85" i="3" s="1"/>
  <c r="I24" i="9"/>
  <c r="H21" i="9"/>
  <c r="F38" i="11"/>
  <c r="H39" i="9"/>
  <c r="G98" i="3"/>
  <c r="H25" i="3"/>
  <c r="C64" i="3"/>
  <c r="F32" i="11"/>
  <c r="H90" i="11"/>
  <c r="G34" i="7"/>
  <c r="H32" i="7"/>
  <c r="C88" i="3"/>
  <c r="B88" i="3" s="1"/>
  <c r="C84" i="3"/>
  <c r="B84" i="3" s="1"/>
  <c r="C64" i="9"/>
  <c r="J21" i="9"/>
  <c r="G38" i="11"/>
  <c r="I39" i="9"/>
  <c r="C47" i="9"/>
  <c r="B47" i="9" s="1"/>
  <c r="I29" i="3"/>
  <c r="I87" i="3"/>
  <c r="G80" i="9"/>
  <c r="F31" i="11"/>
  <c r="F16" i="11"/>
  <c r="F42" i="9"/>
  <c r="C23" i="11"/>
  <c r="B23" i="11" s="1"/>
  <c r="I31" i="11"/>
  <c r="G30" i="11"/>
  <c r="J24" i="3"/>
  <c r="C90" i="11"/>
  <c r="B90" i="11" s="1"/>
  <c r="C39" i="9"/>
  <c r="B39" i="9" s="1"/>
  <c r="I29" i="7"/>
  <c r="I32" i="7"/>
  <c r="C44" i="7"/>
  <c r="B44" i="7" s="1"/>
  <c r="C83" i="3"/>
  <c r="B83" i="3" s="1"/>
  <c r="C89" i="7"/>
  <c r="B89" i="7" s="1"/>
  <c r="I36" i="9"/>
  <c r="J39" i="9"/>
  <c r="F29" i="7"/>
  <c r="F32" i="7"/>
  <c r="C40" i="7"/>
  <c r="B40" i="7" s="1"/>
  <c r="I24" i="7"/>
  <c r="F44" i="11"/>
  <c r="J23" i="11"/>
  <c r="C87" i="9"/>
  <c r="B87" i="9" s="1"/>
  <c r="C98" i="7"/>
  <c r="B98" i="7" s="1"/>
  <c r="J49" i="9"/>
  <c r="G69" i="11"/>
  <c r="J64" i="3"/>
  <c r="J37" i="11"/>
  <c r="H51" i="3"/>
  <c r="F50" i="3"/>
  <c r="I16" i="9"/>
  <c r="I68" i="9"/>
  <c r="C70" i="11"/>
  <c r="B70" i="11" s="1"/>
  <c r="F87" i="3"/>
  <c r="G28" i="3"/>
  <c r="H87" i="3"/>
  <c r="J22" i="7"/>
  <c r="J30" i="11"/>
  <c r="I42" i="7"/>
  <c r="C16" i="11"/>
  <c r="B16" i="11" s="1"/>
  <c r="C32" i="11"/>
  <c r="B32" i="11" s="1"/>
  <c r="I23" i="11"/>
  <c r="F19" i="11"/>
  <c r="G15" i="9"/>
  <c r="H34" i="9"/>
  <c r="F44" i="3"/>
  <c r="C22" i="7"/>
  <c r="B22" i="7" s="1"/>
  <c r="I43" i="7"/>
  <c r="J42" i="7"/>
  <c r="C19" i="11"/>
  <c r="B19" i="11" s="1"/>
  <c r="F23" i="11"/>
  <c r="C38" i="9"/>
  <c r="B38" i="9" s="1"/>
  <c r="G31" i="9"/>
  <c r="G19" i="11"/>
  <c r="H15" i="9"/>
  <c r="C39" i="11"/>
  <c r="B39" i="11" s="1"/>
  <c r="C50" i="9"/>
  <c r="B50" i="9" s="1"/>
  <c r="J37" i="3"/>
  <c r="I20" i="3"/>
  <c r="J48" i="3"/>
  <c r="J46" i="7"/>
  <c r="F43" i="7"/>
  <c r="J26" i="7"/>
  <c r="I26" i="7"/>
  <c r="J19" i="11"/>
  <c r="J15" i="9"/>
  <c r="H48" i="3"/>
  <c r="G26" i="3"/>
  <c r="J26" i="3"/>
  <c r="H26" i="7"/>
  <c r="F26" i="7"/>
  <c r="J27" i="7"/>
  <c r="H19" i="11"/>
  <c r="I15" i="9"/>
  <c r="C43" i="11"/>
  <c r="B43" i="11" s="1"/>
  <c r="C26" i="3"/>
  <c r="B26" i="3" s="1"/>
  <c r="H26" i="3"/>
  <c r="G16" i="7"/>
  <c r="J16" i="7"/>
  <c r="C26" i="7"/>
  <c r="B26" i="7" s="1"/>
  <c r="C18" i="3"/>
  <c r="B18" i="3" s="1"/>
  <c r="G27" i="7"/>
  <c r="H32" i="11"/>
  <c r="C49" i="11"/>
  <c r="B49" i="11" s="1"/>
  <c r="G27" i="11"/>
  <c r="I16" i="7"/>
  <c r="G49" i="11"/>
  <c r="C42" i="7"/>
  <c r="B42" i="7" s="1"/>
  <c r="G23" i="7"/>
  <c r="I30" i="9"/>
  <c r="I32" i="11"/>
  <c r="F39" i="11"/>
  <c r="J27" i="11"/>
  <c r="F44" i="9"/>
  <c r="F18" i="9"/>
  <c r="I26" i="3"/>
  <c r="H84" i="11"/>
  <c r="H95" i="7"/>
  <c r="I74" i="9"/>
  <c r="I94" i="9"/>
  <c r="H64" i="11"/>
  <c r="I95" i="7"/>
  <c r="H86" i="9"/>
  <c r="C80" i="9"/>
  <c r="B80" i="9" s="1"/>
  <c r="J74" i="9"/>
  <c r="J94" i="7"/>
  <c r="F88" i="7"/>
  <c r="F74" i="9"/>
  <c r="H90" i="7"/>
  <c r="G81" i="7"/>
  <c r="I73" i="7"/>
  <c r="G84" i="9"/>
  <c r="C86" i="9"/>
  <c r="B86" i="9" s="1"/>
  <c r="C95" i="7"/>
  <c r="B95" i="7" s="1"/>
  <c r="C74" i="3"/>
  <c r="B74" i="3" s="1"/>
  <c r="C94" i="7"/>
  <c r="B94" i="7" s="1"/>
  <c r="F98" i="7"/>
  <c r="G94" i="7"/>
  <c r="C78" i="3"/>
  <c r="B78" i="3" s="1"/>
  <c r="G98" i="7"/>
  <c r="H81" i="9"/>
  <c r="C69" i="3"/>
  <c r="B69" i="3" s="1"/>
  <c r="C92" i="9"/>
  <c r="B92" i="9" s="1"/>
  <c r="C84" i="9"/>
  <c r="B84" i="9" s="1"/>
  <c r="C73" i="7"/>
  <c r="B73" i="7" s="1"/>
  <c r="H89" i="9"/>
  <c r="H69" i="11"/>
  <c r="G86" i="9"/>
  <c r="F78" i="3"/>
  <c r="C71" i="3"/>
  <c r="B71" i="3" s="1"/>
  <c r="H74" i="9"/>
  <c r="C92" i="3"/>
  <c r="B92" i="3" s="1"/>
  <c r="C89" i="9"/>
  <c r="B89" i="9" s="1"/>
  <c r="G71" i="3"/>
  <c r="G95" i="7"/>
  <c r="J78" i="3"/>
  <c r="C74" i="9"/>
  <c r="B74" i="9" s="1"/>
  <c r="C75" i="3"/>
  <c r="B75" i="3" s="1"/>
  <c r="C88" i="7"/>
  <c r="B88" i="7" s="1"/>
  <c r="J70" i="11"/>
  <c r="H98" i="7"/>
  <c r="J95" i="7"/>
  <c r="F35" i="11"/>
  <c r="F36" i="11"/>
  <c r="J44" i="9"/>
  <c r="C17" i="9"/>
  <c r="B17" i="9" s="1"/>
  <c r="F28" i="11"/>
  <c r="C51" i="9"/>
  <c r="B51" i="9" s="1"/>
  <c r="F24" i="3"/>
  <c r="J46" i="3"/>
  <c r="I17" i="7"/>
  <c r="C17" i="3"/>
  <c r="B17" i="3" s="1"/>
  <c r="H42" i="7"/>
  <c r="H35" i="11"/>
  <c r="G39" i="11"/>
  <c r="G17" i="9"/>
  <c r="G36" i="11"/>
  <c r="C48" i="3"/>
  <c r="B48" i="3" s="1"/>
  <c r="I25" i="3"/>
  <c r="J18" i="3"/>
  <c r="G46" i="3"/>
  <c r="G33" i="3"/>
  <c r="C24" i="11"/>
  <c r="B24" i="11" s="1"/>
  <c r="F28" i="3"/>
  <c r="G31" i="3"/>
  <c r="H24" i="11"/>
  <c r="C28" i="11"/>
  <c r="B28" i="11" s="1"/>
  <c r="I32" i="9"/>
  <c r="I26" i="11"/>
  <c r="I38" i="9"/>
  <c r="F23" i="9"/>
  <c r="H36" i="9"/>
  <c r="H22" i="3"/>
  <c r="C39" i="3"/>
  <c r="B39" i="3" s="1"/>
  <c r="F31" i="3"/>
  <c r="H15" i="11"/>
  <c r="I33" i="7"/>
  <c r="F24" i="11"/>
  <c r="I37" i="11"/>
  <c r="G26" i="11"/>
  <c r="I21" i="9"/>
  <c r="I45" i="9"/>
  <c r="J38" i="9"/>
  <c r="J37" i="9"/>
  <c r="F36" i="9"/>
  <c r="I31" i="3"/>
  <c r="G48" i="9"/>
  <c r="H27" i="3"/>
  <c r="I33" i="3"/>
  <c r="G25" i="3"/>
  <c r="I15" i="11"/>
  <c r="H36" i="11"/>
  <c r="C26" i="11"/>
  <c r="B26" i="11" s="1"/>
  <c r="I35" i="11"/>
  <c r="I27" i="11"/>
  <c r="I34" i="3"/>
  <c r="I30" i="7"/>
  <c r="H40" i="7"/>
  <c r="H22" i="7"/>
  <c r="C16" i="3"/>
  <c r="B16" i="3" s="1"/>
  <c r="F46" i="7"/>
  <c r="H27" i="7"/>
  <c r="G42" i="7"/>
  <c r="J44" i="11"/>
  <c r="I39" i="11"/>
  <c r="F37" i="11"/>
  <c r="F27" i="11"/>
  <c r="J50" i="9"/>
  <c r="F21" i="9"/>
  <c r="G41" i="11"/>
  <c r="G44" i="9"/>
  <c r="H38" i="9"/>
  <c r="F42" i="11"/>
  <c r="J29" i="3"/>
  <c r="J34" i="11"/>
  <c r="F27" i="3"/>
  <c r="J43" i="3"/>
  <c r="F46" i="3"/>
  <c r="I18" i="3"/>
  <c r="I28" i="9"/>
  <c r="C46" i="3"/>
  <c r="B46" i="3" s="1"/>
  <c r="G36" i="9"/>
  <c r="C32" i="3"/>
  <c r="B32" i="3" s="1"/>
  <c r="H48" i="9"/>
  <c r="I24" i="3"/>
  <c r="F15" i="11"/>
  <c r="J33" i="7"/>
  <c r="C43" i="7"/>
  <c r="B43" i="7" s="1"/>
  <c r="C20" i="7"/>
  <c r="B20" i="7" s="1"/>
  <c r="H31" i="11"/>
  <c r="J24" i="11"/>
  <c r="I36" i="11"/>
  <c r="F33" i="7"/>
  <c r="H23" i="7"/>
  <c r="C17" i="7"/>
  <c r="B17" i="7" s="1"/>
  <c r="H28" i="7"/>
  <c r="G31" i="11"/>
  <c r="F43" i="3"/>
  <c r="J28" i="9"/>
  <c r="H26" i="11"/>
  <c r="G18" i="9"/>
  <c r="F49" i="9"/>
  <c r="H26" i="9"/>
  <c r="I36" i="3"/>
  <c r="H16" i="3"/>
  <c r="J39" i="3"/>
  <c r="G15" i="11"/>
  <c r="C23" i="7"/>
  <c r="B23" i="7" s="1"/>
  <c r="G33" i="7"/>
  <c r="H43" i="7"/>
  <c r="J23" i="7"/>
  <c r="C22" i="3"/>
  <c r="B22" i="3" s="1"/>
  <c r="J32" i="9"/>
  <c r="C36" i="9"/>
  <c r="B36" i="9" s="1"/>
  <c r="I41" i="9"/>
  <c r="C32" i="9"/>
  <c r="B32" i="9" s="1"/>
  <c r="C21" i="9"/>
  <c r="B21" i="9" s="1"/>
  <c r="H18" i="9"/>
  <c r="H49" i="9"/>
  <c r="C44" i="11"/>
  <c r="B44" i="11" s="1"/>
  <c r="J26" i="9"/>
  <c r="C48" i="9"/>
  <c r="B48" i="9" s="1"/>
  <c r="C31" i="3"/>
  <c r="B31" i="3" s="1"/>
  <c r="F17" i="3"/>
  <c r="C33" i="3"/>
  <c r="B33" i="3" s="1"/>
  <c r="C27" i="3"/>
  <c r="B27" i="3" s="1"/>
  <c r="J22" i="3"/>
  <c r="F20" i="7"/>
  <c r="H50" i="9"/>
  <c r="H44" i="9"/>
  <c r="C18" i="9"/>
  <c r="B18" i="9" s="1"/>
  <c r="F34" i="11"/>
  <c r="J34" i="3"/>
  <c r="G24" i="3"/>
  <c r="F49" i="11"/>
  <c r="G20" i="7"/>
  <c r="I46" i="7"/>
  <c r="F27" i="7"/>
  <c r="F15" i="7"/>
  <c r="C41" i="9"/>
  <c r="B41" i="9" s="1"/>
  <c r="C37" i="11"/>
  <c r="B37" i="11" s="1"/>
  <c r="I50" i="9"/>
  <c r="H49" i="11"/>
  <c r="F29" i="3"/>
  <c r="H34" i="11"/>
  <c r="I32" i="3"/>
  <c r="C34" i="3"/>
  <c r="J33" i="3"/>
  <c r="H34" i="3"/>
  <c r="F34" i="3"/>
  <c r="H84" i="9"/>
  <c r="I81" i="9"/>
  <c r="C63" i="3"/>
  <c r="B63" i="3" s="1"/>
  <c r="C79" i="3"/>
  <c r="B79" i="3" s="1"/>
  <c r="C81" i="9"/>
  <c r="B81" i="9" s="1"/>
  <c r="H71" i="3"/>
  <c r="H77" i="7"/>
  <c r="H64" i="3"/>
  <c r="I89" i="7"/>
  <c r="C79" i="11"/>
  <c r="B79" i="11" s="1"/>
  <c r="C90" i="3"/>
  <c r="B90" i="3" s="1"/>
  <c r="C73" i="3"/>
  <c r="B73" i="3" s="1"/>
  <c r="J77" i="3"/>
  <c r="I86" i="11"/>
  <c r="J98" i="3"/>
  <c r="F83" i="3"/>
  <c r="C84" i="7"/>
  <c r="B84" i="7" s="1"/>
  <c r="G68" i="7"/>
  <c r="J84" i="11"/>
  <c r="J84" i="9"/>
  <c r="C79" i="9"/>
  <c r="B79" i="9" s="1"/>
  <c r="C97" i="9"/>
  <c r="B97" i="9" s="1"/>
  <c r="C77" i="9"/>
  <c r="B77" i="9" s="1"/>
  <c r="I90" i="11"/>
  <c r="J64" i="9"/>
  <c r="I84" i="7"/>
  <c r="J81" i="9"/>
  <c r="C63" i="9"/>
  <c r="B63" i="9" s="1"/>
  <c r="F90" i="11"/>
  <c r="I64" i="9"/>
  <c r="G89" i="7"/>
  <c r="F81" i="9"/>
  <c r="J24" i="9"/>
  <c r="I40" i="7"/>
  <c r="J45" i="7"/>
  <c r="C20" i="3"/>
  <c r="B20" i="3" s="1"/>
  <c r="C30" i="7"/>
  <c r="B30" i="7" s="1"/>
  <c r="C34" i="7"/>
  <c r="B34" i="7" s="1"/>
  <c r="G37" i="7"/>
  <c r="F16" i="7"/>
  <c r="F30" i="9"/>
  <c r="G35" i="11"/>
  <c r="F33" i="11"/>
  <c r="I30" i="11"/>
  <c r="J46" i="9"/>
  <c r="I31" i="9"/>
  <c r="C23" i="9"/>
  <c r="B23" i="9" s="1"/>
  <c r="F51" i="11"/>
  <c r="J23" i="9"/>
  <c r="F15" i="9"/>
  <c r="B15" i="9" s="1"/>
  <c r="I49" i="9"/>
  <c r="C49" i="9"/>
  <c r="B49" i="9" s="1"/>
  <c r="I44" i="3"/>
  <c r="I16" i="3"/>
  <c r="G16" i="3"/>
  <c r="G39" i="9"/>
  <c r="C44" i="3"/>
  <c r="B44" i="3" s="1"/>
  <c r="J32" i="3"/>
  <c r="I47" i="3"/>
  <c r="H52" i="3"/>
  <c r="G44" i="3"/>
  <c r="H19" i="9"/>
  <c r="F37" i="9"/>
  <c r="G30" i="7"/>
  <c r="J20" i="7"/>
  <c r="I34" i="7"/>
  <c r="G22" i="7"/>
  <c r="J31" i="7"/>
  <c r="H46" i="7"/>
  <c r="H24" i="7"/>
  <c r="I49" i="3"/>
  <c r="G32" i="11"/>
  <c r="G23" i="11"/>
  <c r="J17" i="9"/>
  <c r="F19" i="9"/>
  <c r="G50" i="9"/>
  <c r="C30" i="9"/>
  <c r="B30" i="9" s="1"/>
  <c r="I16" i="11"/>
  <c r="J49" i="11"/>
  <c r="J18" i="9"/>
  <c r="H37" i="9"/>
  <c r="H29" i="11"/>
  <c r="G28" i="11"/>
  <c r="I34" i="11"/>
  <c r="F20" i="3"/>
  <c r="C52" i="3"/>
  <c r="B52" i="3" s="1"/>
  <c r="H44" i="3"/>
  <c r="I29" i="11"/>
  <c r="G52" i="7"/>
  <c r="H31" i="7"/>
  <c r="C46" i="7"/>
  <c r="B46" i="7" s="1"/>
  <c r="C16" i="7"/>
  <c r="B16" i="7" s="1"/>
  <c r="C35" i="11"/>
  <c r="B35" i="11" s="1"/>
  <c r="I19" i="9"/>
  <c r="J29" i="11"/>
  <c r="J21" i="11"/>
  <c r="H32" i="3"/>
  <c r="H20" i="3"/>
  <c r="G47" i="3"/>
  <c r="J15" i="7"/>
  <c r="G19" i="3"/>
  <c r="G32" i="3"/>
  <c r="H46" i="9"/>
  <c r="J48" i="7"/>
  <c r="C29" i="7"/>
  <c r="B29" i="7" s="1"/>
  <c r="C36" i="7"/>
  <c r="B36" i="7" s="1"/>
  <c r="J49" i="3"/>
  <c r="C37" i="9"/>
  <c r="B37" i="9" s="1"/>
  <c r="I23" i="9"/>
  <c r="I19" i="3"/>
  <c r="C47" i="3"/>
  <c r="B47" i="3" s="1"/>
  <c r="I63" i="3"/>
  <c r="G90" i="7"/>
  <c r="I90" i="9"/>
  <c r="C74" i="7"/>
  <c r="B74" i="7" s="1"/>
  <c r="G89" i="9"/>
  <c r="J90" i="9"/>
  <c r="C96" i="9"/>
  <c r="B96" i="9" s="1"/>
  <c r="F93" i="7"/>
  <c r="F90" i="7"/>
  <c r="C86" i="3"/>
  <c r="B86" i="3" s="1"/>
  <c r="C96" i="7"/>
  <c r="B96" i="7" s="1"/>
  <c r="C72" i="7"/>
  <c r="B72" i="7" s="1"/>
  <c r="J63" i="9"/>
  <c r="G87" i="11"/>
  <c r="C93" i="7"/>
  <c r="B93" i="7" s="1"/>
  <c r="C90" i="7"/>
  <c r="B90" i="7" s="1"/>
  <c r="G90" i="9"/>
  <c r="I64" i="11"/>
  <c r="H51" i="9"/>
  <c r="G43" i="9"/>
  <c r="F82" i="11"/>
  <c r="J25" i="9"/>
  <c r="H43" i="9"/>
  <c r="C43" i="3"/>
  <c r="B43" i="3" s="1"/>
  <c r="G45" i="3"/>
  <c r="J67" i="9"/>
  <c r="C82" i="3"/>
  <c r="B82" i="3" s="1"/>
  <c r="H43" i="3"/>
  <c r="C45" i="11"/>
  <c r="B45" i="11" s="1"/>
  <c r="I45" i="3"/>
  <c r="I43" i="9"/>
  <c r="C82" i="11"/>
  <c r="B82" i="11" s="1"/>
  <c r="F45" i="3"/>
  <c r="I67" i="9"/>
  <c r="H78" i="9"/>
  <c r="C93" i="3"/>
  <c r="B93" i="3" s="1"/>
  <c r="C70" i="3"/>
  <c r="C67" i="9"/>
  <c r="B67" i="9" s="1"/>
  <c r="J43" i="9"/>
  <c r="G43" i="3"/>
  <c r="F82" i="3"/>
  <c r="I78" i="9"/>
  <c r="H25" i="9"/>
  <c r="C42" i="3"/>
  <c r="B42" i="3" s="1"/>
  <c r="F45" i="11"/>
  <c r="F34" i="9"/>
  <c r="C94" i="11"/>
  <c r="B94" i="11" s="1"/>
  <c r="J78" i="9"/>
  <c r="F35" i="7"/>
  <c r="C41" i="3"/>
  <c r="B41" i="3" s="1"/>
  <c r="H45" i="3"/>
  <c r="H45" i="11"/>
  <c r="J42" i="11"/>
  <c r="G34" i="9"/>
  <c r="C45" i="3"/>
  <c r="B45" i="3" s="1"/>
  <c r="H41" i="3"/>
  <c r="G35" i="7"/>
  <c r="I45" i="11"/>
  <c r="H42" i="11"/>
  <c r="J34" i="9"/>
  <c r="G82" i="11"/>
  <c r="J35" i="7"/>
  <c r="F51" i="9"/>
  <c r="C25" i="9"/>
  <c r="B25" i="9" s="1"/>
  <c r="C80" i="7"/>
  <c r="B80" i="7" s="1"/>
  <c r="I42" i="11"/>
  <c r="F41" i="3"/>
  <c r="J41" i="3"/>
  <c r="J94" i="11"/>
  <c r="G94" i="11"/>
  <c r="F80" i="7"/>
  <c r="C35" i="7"/>
  <c r="B35" i="7" s="1"/>
  <c r="H35" i="7"/>
  <c r="I25" i="9"/>
  <c r="I51" i="9"/>
  <c r="C91" i="11"/>
  <c r="B91" i="11" s="1"/>
  <c r="I41" i="3"/>
  <c r="I91" i="11"/>
  <c r="F25" i="9"/>
  <c r="J51" i="9"/>
  <c r="C34" i="9"/>
  <c r="B34" i="9" s="1"/>
  <c r="C22" i="9"/>
  <c r="B22" i="9" s="1"/>
  <c r="C42" i="11"/>
  <c r="B42" i="11" s="1"/>
  <c r="C67" i="7"/>
  <c r="B67" i="7" s="1"/>
  <c r="F91" i="11"/>
  <c r="C68" i="3"/>
  <c r="C43" i="9"/>
  <c r="B43" i="9" s="1"/>
  <c r="H94" i="11"/>
  <c r="F18" i="11"/>
  <c r="F24" i="9"/>
  <c r="I26" i="9"/>
  <c r="C95" i="9"/>
  <c r="B95" i="9" s="1"/>
  <c r="F37" i="3"/>
  <c r="H37" i="3"/>
  <c r="F33" i="3"/>
  <c r="C21" i="11"/>
  <c r="B21" i="11" s="1"/>
  <c r="F47" i="3"/>
  <c r="F84" i="7"/>
  <c r="J84" i="7"/>
  <c r="F84" i="9"/>
  <c r="F64" i="3"/>
  <c r="H98" i="9"/>
  <c r="C78" i="7"/>
  <c r="B78" i="7" s="1"/>
  <c r="J30" i="3"/>
  <c r="G30" i="3"/>
  <c r="C20" i="11"/>
  <c r="B20" i="11" s="1"/>
  <c r="J45" i="9"/>
  <c r="G69" i="9"/>
  <c r="J66" i="7"/>
  <c r="C67" i="11"/>
  <c r="B67" i="11" s="1"/>
  <c r="H20" i="9"/>
  <c r="H45" i="9"/>
  <c r="J16" i="3"/>
  <c r="J68" i="7"/>
  <c r="H96" i="9"/>
  <c r="F63" i="9"/>
  <c r="G84" i="11"/>
  <c r="H84" i="7"/>
  <c r="G89" i="11"/>
  <c r="I66" i="7"/>
  <c r="H80" i="9"/>
  <c r="G78" i="3"/>
  <c r="G35" i="3"/>
  <c r="F45" i="9"/>
  <c r="C49" i="7"/>
  <c r="B49" i="7" s="1"/>
  <c r="C91" i="3"/>
  <c r="B91" i="3" s="1"/>
  <c r="G45" i="9"/>
  <c r="H18" i="3"/>
  <c r="I71" i="3"/>
  <c r="F64" i="9"/>
  <c r="I98" i="3"/>
  <c r="H81" i="7"/>
  <c r="I72" i="9"/>
  <c r="J64" i="11"/>
  <c r="H78" i="3"/>
  <c r="G88" i="9"/>
  <c r="I50" i="11"/>
  <c r="C19" i="9"/>
  <c r="B19" i="9" s="1"/>
  <c r="I21" i="11"/>
  <c r="C84" i="11"/>
  <c r="B84" i="11" s="1"/>
  <c r="J50" i="3"/>
  <c r="G37" i="3"/>
  <c r="F71" i="3"/>
  <c r="F96" i="9"/>
  <c r="I69" i="11"/>
  <c r="G87" i="3"/>
  <c r="H84" i="3"/>
  <c r="H94" i="7"/>
  <c r="J86" i="9"/>
  <c r="J98" i="7"/>
  <c r="I64" i="3"/>
  <c r="H39" i="7"/>
  <c r="H52" i="9"/>
  <c r="G18" i="11"/>
  <c r="I20" i="11"/>
  <c r="J25" i="11"/>
  <c r="C36" i="3"/>
  <c r="B36" i="3" s="1"/>
  <c r="F35" i="3"/>
  <c r="H65" i="3"/>
  <c r="I84" i="3"/>
  <c r="I52" i="9"/>
  <c r="H18" i="11"/>
  <c r="J20" i="11"/>
  <c r="H25" i="11"/>
  <c r="J91" i="3"/>
  <c r="I78" i="7"/>
  <c r="C83" i="9"/>
  <c r="B83" i="9" s="1"/>
  <c r="J52" i="9"/>
  <c r="C74" i="11"/>
  <c r="B74" i="11" s="1"/>
  <c r="F25" i="11"/>
  <c r="C35" i="3"/>
  <c r="B35" i="3" s="1"/>
  <c r="J35" i="3"/>
  <c r="G49" i="7"/>
  <c r="I49" i="7"/>
  <c r="C76" i="9"/>
  <c r="B76" i="9" s="1"/>
  <c r="G25" i="11"/>
  <c r="I40" i="3"/>
  <c r="I50" i="7"/>
  <c r="C52" i="9"/>
  <c r="B52" i="9" s="1"/>
  <c r="F92" i="3"/>
  <c r="J76" i="3"/>
  <c r="H50" i="7"/>
  <c r="F49" i="7"/>
  <c r="H49" i="7"/>
  <c r="J50" i="7"/>
  <c r="C69" i="9"/>
  <c r="B69" i="9" s="1"/>
  <c r="G66" i="3"/>
  <c r="G50" i="7"/>
  <c r="C50" i="7"/>
  <c r="B50" i="7" s="1"/>
  <c r="C40" i="3"/>
  <c r="B40" i="3" s="1"/>
  <c r="C25" i="11"/>
  <c r="B25" i="11" s="1"/>
  <c r="F35" i="9"/>
  <c r="C88" i="11"/>
  <c r="B88" i="11" s="1"/>
  <c r="J40" i="3"/>
  <c r="G76" i="9"/>
  <c r="G88" i="11"/>
  <c r="I83" i="3"/>
  <c r="J88" i="7"/>
  <c r="C72" i="9"/>
  <c r="B72" i="9" s="1"/>
  <c r="H35" i="3"/>
  <c r="H40" i="3"/>
  <c r="I76" i="9"/>
  <c r="F67" i="3"/>
  <c r="H88" i="7"/>
  <c r="C76" i="3"/>
  <c r="B76" i="3" s="1"/>
  <c r="H91" i="3"/>
  <c r="I39" i="7"/>
  <c r="F39" i="7"/>
  <c r="C39" i="7"/>
  <c r="B39" i="7" s="1"/>
  <c r="I18" i="11"/>
  <c r="J36" i="3"/>
  <c r="F40" i="3"/>
  <c r="G72" i="9"/>
  <c r="C65" i="9"/>
  <c r="B65" i="9" s="1"/>
  <c r="F36" i="3"/>
  <c r="H92" i="3"/>
  <c r="J73" i="9"/>
  <c r="I31" i="7"/>
  <c r="G48" i="7"/>
  <c r="C77" i="3"/>
  <c r="B77" i="3" s="1"/>
  <c r="G50" i="11"/>
  <c r="C51" i="3"/>
  <c r="B51" i="3" s="1"/>
  <c r="H70" i="11"/>
  <c r="I91" i="3"/>
  <c r="J89" i="7"/>
  <c r="J79" i="11"/>
  <c r="H50" i="11"/>
  <c r="G48" i="11"/>
  <c r="H83" i="11"/>
  <c r="I85" i="7"/>
  <c r="G91" i="7"/>
  <c r="F81" i="11"/>
  <c r="I98" i="11"/>
  <c r="F48" i="7"/>
  <c r="H48" i="7"/>
  <c r="J50" i="11"/>
  <c r="F48" i="11"/>
  <c r="I67" i="7"/>
  <c r="C73" i="9"/>
  <c r="B73" i="9" s="1"/>
  <c r="H48" i="11"/>
  <c r="F51" i="3"/>
  <c r="C81" i="11"/>
  <c r="B81" i="11" s="1"/>
  <c r="I68" i="11"/>
  <c r="G98" i="11"/>
  <c r="C94" i="3"/>
  <c r="B94" i="3" s="1"/>
  <c r="I48" i="11"/>
  <c r="C98" i="11"/>
  <c r="B98" i="11" s="1"/>
  <c r="C50" i="3"/>
  <c r="B50" i="3" s="1"/>
  <c r="C83" i="11"/>
  <c r="B83" i="11" s="1"/>
  <c r="H96" i="7"/>
  <c r="I97" i="7"/>
  <c r="J80" i="7"/>
  <c r="C50" i="11"/>
  <c r="B50" i="11" s="1"/>
  <c r="C91" i="7"/>
  <c r="B91" i="7" s="1"/>
  <c r="C68" i="11"/>
  <c r="B68" i="11" s="1"/>
  <c r="F83" i="11"/>
  <c r="I81" i="11"/>
  <c r="G70" i="3"/>
  <c r="J93" i="3"/>
  <c r="H98" i="11"/>
  <c r="I94" i="3"/>
  <c r="J51" i="3"/>
  <c r="J85" i="7"/>
  <c r="J68" i="11"/>
  <c r="C48" i="11"/>
  <c r="B48" i="11" s="1"/>
  <c r="C85" i="7"/>
  <c r="B85" i="7" s="1"/>
  <c r="I51" i="3"/>
  <c r="C48" i="7"/>
  <c r="B48" i="7" s="1"/>
  <c r="C31" i="7"/>
  <c r="B31" i="7" s="1"/>
  <c r="J83" i="11"/>
  <c r="G68" i="11"/>
  <c r="I73" i="9"/>
  <c r="H67" i="7"/>
  <c r="I70" i="3"/>
  <c r="I50" i="3"/>
  <c r="I83" i="11"/>
  <c r="F85" i="7"/>
  <c r="G81" i="11"/>
  <c r="I35" i="9"/>
  <c r="C79" i="7"/>
  <c r="B79" i="7" s="1"/>
  <c r="C94" i="9"/>
  <c r="B94" i="9" s="1"/>
  <c r="H17" i="3"/>
  <c r="G18" i="3"/>
  <c r="H97" i="9"/>
  <c r="I82" i="11"/>
  <c r="J67" i="7"/>
  <c r="J86" i="11"/>
  <c r="F68" i="9"/>
  <c r="H72" i="11"/>
  <c r="I71" i="11"/>
  <c r="G63" i="11"/>
  <c r="J70" i="3"/>
  <c r="H83" i="3"/>
  <c r="J92" i="9"/>
  <c r="G80" i="7"/>
  <c r="H30" i="3"/>
  <c r="F69" i="9"/>
  <c r="G67" i="9"/>
  <c r="I85" i="3"/>
  <c r="F76" i="9"/>
  <c r="I65" i="3"/>
  <c r="H76" i="9"/>
  <c r="F91" i="3"/>
  <c r="I72" i="11"/>
  <c r="G80" i="11"/>
  <c r="I94" i="11"/>
  <c r="H73" i="9"/>
  <c r="H81" i="11"/>
  <c r="J88" i="9"/>
  <c r="J78" i="7"/>
  <c r="F98" i="9"/>
  <c r="F70" i="3"/>
  <c r="C66" i="7"/>
  <c r="B66" i="7" s="1"/>
  <c r="C30" i="3"/>
  <c r="B30" i="3" s="1"/>
  <c r="F30" i="3"/>
  <c r="G77" i="9"/>
  <c r="H77" i="3"/>
  <c r="F78" i="9"/>
  <c r="I63" i="11"/>
  <c r="G68" i="9"/>
  <c r="J91" i="7"/>
  <c r="J81" i="7"/>
  <c r="F77" i="7"/>
  <c r="J97" i="3"/>
  <c r="F72" i="9"/>
  <c r="F73" i="7"/>
  <c r="I84" i="11"/>
  <c r="H76" i="3"/>
  <c r="I80" i="9"/>
  <c r="H94" i="3"/>
  <c r="F78" i="7"/>
  <c r="H35" i="9"/>
  <c r="C69" i="7"/>
  <c r="B69" i="7" s="1"/>
  <c r="C86" i="11"/>
  <c r="B86" i="11" s="1"/>
  <c r="F85" i="3"/>
  <c r="G85" i="7"/>
  <c r="J82" i="11"/>
  <c r="H91" i="11"/>
  <c r="J68" i="9"/>
  <c r="I77" i="7"/>
  <c r="G63" i="9"/>
  <c r="J72" i="9"/>
  <c r="F89" i="7"/>
  <c r="H74" i="11"/>
  <c r="I74" i="3"/>
  <c r="H66" i="7"/>
  <c r="H38" i="3"/>
  <c r="C96" i="3"/>
  <c r="B96" i="3" s="1"/>
  <c r="J21" i="3"/>
  <c r="I51" i="11"/>
  <c r="H46" i="11"/>
  <c r="J16" i="9"/>
  <c r="I69" i="9"/>
  <c r="G77" i="3"/>
  <c r="F86" i="11"/>
  <c r="H88" i="3"/>
  <c r="F75" i="9"/>
  <c r="I97" i="11"/>
  <c r="F98" i="11"/>
  <c r="G97" i="7"/>
  <c r="F80" i="9"/>
  <c r="G70" i="7"/>
  <c r="I83" i="7"/>
  <c r="F74" i="7"/>
  <c r="I21" i="3"/>
  <c r="J51" i="11"/>
  <c r="F46" i="11"/>
  <c r="G88" i="3"/>
  <c r="H78" i="11"/>
  <c r="G51" i="11"/>
  <c r="G46" i="11"/>
  <c r="J78" i="11"/>
  <c r="J70" i="7"/>
  <c r="C46" i="11"/>
  <c r="B46" i="11" s="1"/>
  <c r="H51" i="11"/>
  <c r="I46" i="11"/>
  <c r="G38" i="3"/>
  <c r="G97" i="11"/>
  <c r="H75" i="9"/>
  <c r="F97" i="7"/>
  <c r="H70" i="9"/>
  <c r="C70" i="7"/>
  <c r="B70" i="7" s="1"/>
  <c r="J38" i="3"/>
  <c r="I78" i="11"/>
  <c r="G92" i="11"/>
  <c r="G94" i="3"/>
  <c r="G93" i="7"/>
  <c r="C15" i="7"/>
  <c r="F52" i="11"/>
  <c r="F21" i="3"/>
  <c r="I17" i="11"/>
  <c r="F94" i="7"/>
  <c r="I90" i="7"/>
  <c r="H96" i="3"/>
  <c r="G74" i="11"/>
  <c r="G52" i="11"/>
  <c r="H21" i="3"/>
  <c r="C75" i="9"/>
  <c r="B75" i="9" s="1"/>
  <c r="H31" i="9"/>
  <c r="F40" i="11"/>
  <c r="C92" i="11"/>
  <c r="B92" i="11" s="1"/>
  <c r="J95" i="9"/>
  <c r="F88" i="3"/>
  <c r="H68" i="11"/>
  <c r="G73" i="9"/>
  <c r="F97" i="11"/>
  <c r="J73" i="7"/>
  <c r="J93" i="7"/>
  <c r="I74" i="11"/>
  <c r="I67" i="3"/>
  <c r="J96" i="3"/>
  <c r="H52" i="11"/>
  <c r="I38" i="3"/>
  <c r="C97" i="11"/>
  <c r="B97" i="11" s="1"/>
  <c r="I88" i="3"/>
  <c r="J97" i="11"/>
  <c r="J75" i="9"/>
  <c r="F70" i="7"/>
  <c r="I52" i="11"/>
  <c r="I15" i="7"/>
  <c r="G78" i="11"/>
  <c r="F92" i="11"/>
  <c r="I70" i="7"/>
  <c r="C66" i="9"/>
  <c r="B66" i="9" s="1"/>
  <c r="J52" i="11"/>
  <c r="C78" i="11"/>
  <c r="B78" i="11" s="1"/>
  <c r="C38" i="3"/>
  <c r="B38" i="3" s="1"/>
  <c r="G15" i="7"/>
  <c r="C97" i="7"/>
  <c r="B97" i="7" s="1"/>
  <c r="G83" i="9"/>
  <c r="J97" i="7"/>
  <c r="G94" i="9"/>
  <c r="G86" i="3"/>
  <c r="H79" i="3"/>
  <c r="I90" i="3"/>
  <c r="I77" i="9"/>
  <c r="H76" i="7"/>
  <c r="F66" i="11"/>
  <c r="J77" i="9"/>
  <c r="H77" i="9"/>
  <c r="I80" i="11"/>
  <c r="G73" i="3"/>
  <c r="F71" i="9"/>
  <c r="H80" i="11"/>
  <c r="F79" i="3"/>
  <c r="G76" i="7"/>
  <c r="I71" i="9"/>
  <c r="F73" i="3"/>
  <c r="I73" i="3"/>
  <c r="H71" i="9"/>
  <c r="J80" i="3"/>
  <c r="I79" i="3"/>
  <c r="H90" i="3"/>
  <c r="J73" i="3"/>
  <c r="F80" i="11"/>
  <c r="H72" i="7"/>
  <c r="J95" i="3"/>
  <c r="G82" i="9"/>
  <c r="J65" i="7"/>
  <c r="G49" i="3"/>
  <c r="F93" i="11"/>
  <c r="F82" i="9"/>
  <c r="G65" i="7"/>
  <c r="G23" i="9"/>
  <c r="F49" i="3"/>
  <c r="F72" i="7"/>
  <c r="I66" i="11"/>
  <c r="H82" i="9"/>
  <c r="H65" i="7"/>
  <c r="F84" i="3"/>
  <c r="J76" i="11"/>
  <c r="G66" i="11"/>
  <c r="G82" i="7"/>
  <c r="C65" i="7"/>
  <c r="B65" i="7" s="1"/>
  <c r="H42" i="3"/>
  <c r="G42" i="3"/>
  <c r="I68" i="7"/>
  <c r="J65" i="3"/>
  <c r="F89" i="9"/>
  <c r="I93" i="11"/>
  <c r="G71" i="11"/>
  <c r="G93" i="11"/>
  <c r="I76" i="11"/>
  <c r="F74" i="3"/>
  <c r="H79" i="11"/>
  <c r="J77" i="11"/>
  <c r="F93" i="9"/>
  <c r="C95" i="3"/>
  <c r="B95" i="3" s="1"/>
  <c r="C88" i="9"/>
  <c r="B88" i="9" s="1"/>
  <c r="H21" i="11"/>
  <c r="F42" i="3"/>
  <c r="F65" i="3"/>
  <c r="H85" i="3"/>
  <c r="J89" i="9"/>
  <c r="I72" i="7"/>
  <c r="G72" i="11"/>
  <c r="I93" i="7"/>
  <c r="G76" i="3"/>
  <c r="J74" i="11"/>
  <c r="G75" i="3"/>
  <c r="I92" i="9"/>
  <c r="H75" i="3"/>
  <c r="I74" i="7"/>
  <c r="H80" i="7"/>
  <c r="H20" i="11"/>
  <c r="G21" i="11"/>
  <c r="I42" i="3"/>
  <c r="C96" i="11"/>
  <c r="B96" i="11" s="1"/>
  <c r="H67" i="9"/>
  <c r="H95" i="9"/>
  <c r="I95" i="9"/>
  <c r="J69" i="9"/>
  <c r="H67" i="11"/>
  <c r="I70" i="11"/>
  <c r="J92" i="3"/>
  <c r="F86" i="3"/>
  <c r="H71" i="11"/>
  <c r="G73" i="7"/>
  <c r="J66" i="11"/>
  <c r="G91" i="9"/>
  <c r="G79" i="11"/>
  <c r="I76" i="3"/>
  <c r="F93" i="3"/>
  <c r="H78" i="7"/>
  <c r="J74" i="7"/>
  <c r="C82" i="7"/>
  <c r="B82" i="7" s="1"/>
  <c r="G27" i="9"/>
  <c r="G72" i="7"/>
  <c r="F87" i="11"/>
  <c r="F91" i="9"/>
  <c r="H91" i="9"/>
  <c r="I75" i="3"/>
  <c r="H82" i="7"/>
  <c r="F20" i="11"/>
  <c r="C27" i="9"/>
  <c r="B27" i="9" s="1"/>
  <c r="F26" i="9"/>
  <c r="F27" i="9"/>
  <c r="J17" i="11"/>
  <c r="C66" i="11"/>
  <c r="B66" i="11" s="1"/>
  <c r="H63" i="9"/>
  <c r="J69" i="11"/>
  <c r="F94" i="9"/>
  <c r="I83" i="9"/>
  <c r="G70" i="11"/>
  <c r="J87" i="11"/>
  <c r="I93" i="3"/>
  <c r="F88" i="9"/>
  <c r="I88" i="9"/>
  <c r="H92" i="9"/>
  <c r="I65" i="7"/>
  <c r="I88" i="7"/>
  <c r="C82" i="9"/>
  <c r="B82" i="9" s="1"/>
  <c r="C49" i="3"/>
  <c r="B49" i="3" s="1"/>
  <c r="C76" i="11"/>
  <c r="B76" i="11" s="1"/>
  <c r="C93" i="11"/>
  <c r="B93" i="11" s="1"/>
  <c r="F67" i="11"/>
  <c r="H95" i="3"/>
  <c r="J91" i="9"/>
  <c r="G76" i="11"/>
  <c r="J75" i="3"/>
  <c r="C72" i="3"/>
  <c r="B72" i="3" s="1"/>
  <c r="C85" i="9"/>
  <c r="B85" i="9" s="1"/>
  <c r="C86" i="7"/>
  <c r="B86" i="7" s="1"/>
  <c r="J35" i="9"/>
  <c r="C31" i="9"/>
  <c r="B31" i="9" s="1"/>
  <c r="J31" i="9"/>
  <c r="I33" i="9"/>
  <c r="C93" i="9"/>
  <c r="B93" i="9" s="1"/>
  <c r="H27" i="9"/>
  <c r="H17" i="11"/>
  <c r="H36" i="3"/>
  <c r="C71" i="11"/>
  <c r="B71" i="11" s="1"/>
  <c r="C17" i="11"/>
  <c r="B17" i="11" s="1"/>
  <c r="G16" i="9"/>
  <c r="J85" i="3"/>
  <c r="I82" i="3"/>
  <c r="J97" i="9"/>
  <c r="F97" i="9"/>
  <c r="H94" i="9"/>
  <c r="F83" i="9"/>
  <c r="I67" i="11"/>
  <c r="J71" i="11"/>
  <c r="J86" i="3"/>
  <c r="G75" i="9"/>
  <c r="J79" i="3"/>
  <c r="G95" i="3"/>
  <c r="I89" i="11"/>
  <c r="H89" i="11"/>
  <c r="J84" i="3"/>
  <c r="F76" i="7"/>
  <c r="H76" i="11"/>
  <c r="F68" i="3"/>
  <c r="G92" i="9"/>
  <c r="F96" i="3"/>
  <c r="J82" i="9"/>
  <c r="J82" i="7"/>
  <c r="F79" i="7"/>
  <c r="H92" i="7"/>
  <c r="H87" i="11"/>
  <c r="G66" i="7"/>
  <c r="I79" i="7"/>
  <c r="C35" i="9"/>
  <c r="B35" i="9" s="1"/>
  <c r="J82" i="3"/>
  <c r="F95" i="9"/>
  <c r="G64" i="9"/>
  <c r="J67" i="11"/>
  <c r="H86" i="3"/>
  <c r="F95" i="3"/>
  <c r="J93" i="11"/>
  <c r="J89" i="11"/>
  <c r="I76" i="7"/>
  <c r="G86" i="7"/>
  <c r="J90" i="3"/>
  <c r="G90" i="3"/>
  <c r="I86" i="9"/>
  <c r="H69" i="7"/>
  <c r="J71" i="9"/>
  <c r="H66" i="3"/>
  <c r="J96" i="7"/>
  <c r="F86" i="7"/>
  <c r="J83" i="9"/>
  <c r="I86" i="7"/>
  <c r="I69" i="7"/>
  <c r="I92" i="7"/>
  <c r="G83" i="3"/>
  <c r="J69" i="7"/>
  <c r="C70" i="9"/>
  <c r="F17" i="11"/>
  <c r="C87" i="11"/>
  <c r="B87" i="11" s="1"/>
  <c r="H16" i="9"/>
  <c r="G67" i="7"/>
  <c r="H92" i="11"/>
  <c r="G77" i="11"/>
  <c r="J67" i="3"/>
  <c r="H93" i="9"/>
  <c r="H65" i="9"/>
  <c r="I97" i="9"/>
  <c r="F77" i="3"/>
  <c r="J96" i="9"/>
  <c r="F96" i="7"/>
  <c r="J88" i="11"/>
  <c r="I92" i="11"/>
  <c r="H77" i="11"/>
  <c r="I77" i="11"/>
  <c r="H67" i="3"/>
  <c r="G75" i="7"/>
  <c r="C26" i="9"/>
  <c r="B26" i="9" s="1"/>
  <c r="C75" i="7"/>
  <c r="B75" i="7" s="1"/>
  <c r="C68" i="7"/>
  <c r="B68" i="7" s="1"/>
  <c r="C77" i="11"/>
  <c r="B77" i="11" s="1"/>
  <c r="H68" i="7"/>
  <c r="H88" i="11"/>
  <c r="H86" i="7"/>
  <c r="G92" i="7"/>
  <c r="G93" i="3"/>
  <c r="J92" i="7"/>
  <c r="J94" i="3"/>
  <c r="I79" i="11"/>
  <c r="G96" i="3"/>
  <c r="F75" i="7"/>
  <c r="G96" i="9"/>
  <c r="I91" i="7"/>
  <c r="F91" i="7"/>
  <c r="I96" i="7"/>
  <c r="I92" i="3"/>
  <c r="J70" i="9"/>
  <c r="G93" i="9"/>
  <c r="J66" i="9"/>
  <c r="G79" i="7"/>
  <c r="H79" i="7"/>
  <c r="C80" i="3"/>
  <c r="B80" i="3" s="1"/>
  <c r="G40" i="11"/>
  <c r="F33" i="9"/>
  <c r="C16" i="9"/>
  <c r="B16" i="9" s="1"/>
  <c r="J17" i="3"/>
  <c r="I40" i="11"/>
  <c r="H33" i="9"/>
  <c r="I68" i="3"/>
  <c r="H80" i="3"/>
  <c r="J75" i="7"/>
  <c r="G33" i="9"/>
  <c r="I80" i="3"/>
  <c r="J33" i="9"/>
  <c r="I27" i="9"/>
  <c r="C21" i="3"/>
  <c r="B21" i="3" s="1"/>
  <c r="J74" i="3"/>
  <c r="G68" i="3"/>
  <c r="H68" i="3"/>
  <c r="J66" i="3"/>
  <c r="I17" i="3"/>
  <c r="C73" i="11"/>
  <c r="B73" i="11" s="1"/>
  <c r="I70" i="9"/>
  <c r="C40" i="11"/>
  <c r="B40" i="11" s="1"/>
  <c r="F66" i="3"/>
  <c r="F70" i="9"/>
  <c r="H40" i="11"/>
  <c r="I75" i="7"/>
  <c r="F80" i="3"/>
  <c r="H74" i="3"/>
  <c r="I93" i="9"/>
  <c r="G71" i="7"/>
  <c r="H69" i="3"/>
  <c r="B15" i="3"/>
  <c r="C29" i="9"/>
  <c r="B29" i="9" s="1"/>
  <c r="I69" i="3"/>
  <c r="F69" i="3"/>
  <c r="F22" i="9"/>
  <c r="C71" i="7"/>
  <c r="B71" i="7" s="1"/>
  <c r="J69" i="3"/>
  <c r="F79" i="9"/>
  <c r="G29" i="9"/>
  <c r="G22" i="9"/>
  <c r="F29" i="9"/>
  <c r="H22" i="9"/>
  <c r="H29" i="9"/>
  <c r="I22" i="9"/>
  <c r="C23" i="3"/>
  <c r="B23" i="3" s="1"/>
  <c r="I29" i="9"/>
  <c r="C64" i="7"/>
  <c r="I82" i="7"/>
  <c r="I79" i="9"/>
  <c r="I20" i="9"/>
  <c r="G79" i="9"/>
  <c r="F20" i="9"/>
  <c r="G65" i="9"/>
  <c r="C89" i="3"/>
  <c r="B89" i="3" s="1"/>
  <c r="F83" i="7"/>
  <c r="G83" i="7"/>
  <c r="I98" i="9"/>
  <c r="H79" i="9"/>
  <c r="G98" i="9"/>
  <c r="H63" i="3"/>
  <c r="H83" i="7"/>
  <c r="G66" i="9"/>
  <c r="F66" i="9"/>
  <c r="I66" i="9"/>
  <c r="C98" i="9"/>
  <c r="B98" i="9" s="1"/>
  <c r="F65" i="9"/>
  <c r="J65" i="9"/>
  <c r="J63" i="3"/>
  <c r="F23" i="3"/>
  <c r="C20" i="9"/>
  <c r="B20" i="9" s="1"/>
  <c r="G23" i="3"/>
  <c r="G20" i="9"/>
  <c r="I23" i="3"/>
  <c r="C65" i="11"/>
  <c r="F63" i="3"/>
  <c r="H23" i="3"/>
  <c r="J85" i="11"/>
  <c r="H85" i="11"/>
  <c r="I85" i="11"/>
  <c r="G85" i="11"/>
  <c r="F85" i="11"/>
  <c r="H71" i="7"/>
  <c r="F65" i="11"/>
  <c r="G65" i="11"/>
  <c r="H65" i="11"/>
  <c r="J65" i="11"/>
  <c r="I65" i="11"/>
  <c r="J95" i="11"/>
  <c r="I95" i="11"/>
  <c r="H95" i="11"/>
  <c r="G95" i="11"/>
  <c r="F95" i="11"/>
  <c r="J71" i="7"/>
  <c r="C95" i="11"/>
  <c r="B95" i="11" s="1"/>
  <c r="F71" i="7"/>
  <c r="J96" i="11"/>
  <c r="F96" i="11"/>
  <c r="G96" i="11"/>
  <c r="I96" i="11"/>
  <c r="H96" i="11"/>
  <c r="G72" i="3"/>
  <c r="H72" i="3"/>
  <c r="J72" i="3"/>
  <c r="F72" i="3"/>
  <c r="I72" i="3"/>
  <c r="G89" i="3"/>
  <c r="H89" i="3"/>
  <c r="I89" i="3"/>
  <c r="F89" i="3"/>
  <c r="J89" i="3"/>
  <c r="F75" i="11"/>
  <c r="G75" i="11"/>
  <c r="J75" i="11"/>
  <c r="I75" i="11"/>
  <c r="H75" i="11"/>
  <c r="G85" i="9"/>
  <c r="J85" i="9"/>
  <c r="H85" i="9"/>
  <c r="F85" i="9"/>
  <c r="I85" i="9"/>
  <c r="G81" i="3"/>
  <c r="F81" i="3"/>
  <c r="H81" i="3"/>
  <c r="J81" i="3"/>
  <c r="I81" i="3"/>
  <c r="C85" i="11"/>
  <c r="B85" i="11" s="1"/>
  <c r="F73" i="11"/>
  <c r="J73" i="11"/>
  <c r="G73" i="11"/>
  <c r="I73" i="11"/>
  <c r="H73" i="11"/>
  <c r="J64" i="7"/>
  <c r="G64" i="7"/>
  <c r="H64" i="7"/>
  <c r="I64" i="7"/>
  <c r="F64" i="7"/>
  <c r="B28" i="9"/>
  <c r="C31" i="11"/>
  <c r="B31" i="11" s="1"/>
  <c r="C29" i="11"/>
  <c r="B29" i="11" s="1"/>
  <c r="C34" i="11"/>
  <c r="B34" i="11" s="1"/>
  <c r="C18" i="11"/>
  <c r="B18" i="11" s="1"/>
  <c r="B64" i="11" l="1"/>
  <c r="B65" i="3"/>
  <c r="B65" i="11"/>
  <c r="B34" i="3"/>
  <c r="B70" i="9"/>
  <c r="B64" i="9"/>
  <c r="B15" i="11"/>
  <c r="B53" i="11" s="1"/>
  <c r="G9" i="11" s="1"/>
  <c r="B68" i="9"/>
  <c r="B68" i="3"/>
  <c r="B15" i="7"/>
  <c r="B53" i="7" s="1"/>
  <c r="G9" i="7" s="1"/>
  <c r="F28" i="5" s="1"/>
  <c r="B64" i="3"/>
  <c r="B70" i="3"/>
  <c r="B64" i="7"/>
  <c r="B99" i="7" s="1"/>
  <c r="G10" i="7" s="1"/>
  <c r="G8" i="7" s="1"/>
  <c r="B99" i="11"/>
  <c r="G10" i="11" s="1"/>
  <c r="G8" i="11" s="1"/>
  <c r="B53" i="3"/>
  <c r="G9" i="3" s="1"/>
  <c r="G7" i="3" s="1"/>
  <c r="B53" i="9"/>
  <c r="G9" i="9" s="1"/>
  <c r="B99" i="9" l="1"/>
  <c r="G10" i="9" s="1"/>
  <c r="G8" i="9" s="1"/>
  <c r="AR21" i="5" s="1"/>
  <c r="B99" i="3"/>
  <c r="G10" i="3" s="1"/>
  <c r="G8" i="3" s="1"/>
  <c r="AR19" i="5" s="1"/>
  <c r="AR22" i="5"/>
  <c r="F29" i="5"/>
  <c r="AR20" i="5"/>
  <c r="H29" i="5"/>
  <c r="E28" i="5"/>
  <c r="G28" i="5"/>
  <c r="G7" i="9"/>
  <c r="AR15" i="5" s="1"/>
  <c r="G7" i="7"/>
  <c r="AR14" i="5" s="1"/>
  <c r="G7" i="11"/>
  <c r="AR16" i="5" s="1"/>
  <c r="H28" i="5"/>
  <c r="G29" i="5" l="1"/>
  <c r="E29" i="5"/>
  <c r="I29" i="5" s="1"/>
  <c r="AS17" i="5"/>
  <c r="I28" i="5"/>
  <c r="J29" i="5" l="1"/>
  <c r="AE45" i="5"/>
  <c r="AE29" i="5"/>
  <c r="J28" i="5"/>
  <c r="AE28" i="5"/>
  <c r="AE42" i="5"/>
  <c r="AE34" i="5" l="1"/>
  <c r="AE37" i="5" s="1"/>
</calcChain>
</file>

<file path=xl/sharedStrings.xml><?xml version="1.0" encoding="utf-8"?>
<sst xmlns="http://schemas.openxmlformats.org/spreadsheetml/2006/main" count="2284" uniqueCount="321">
  <si>
    <t>戸建住宅簡易計算シート</t>
    <phoneticPr fontId="1"/>
  </si>
  <si>
    <t>外皮性能</t>
    <phoneticPr fontId="1"/>
  </si>
  <si>
    <t>地域</t>
    <rPh sb="0" eb="2">
      <t>チイキ</t>
    </rPh>
    <phoneticPr fontId="1"/>
  </si>
  <si>
    <t>物件名</t>
    <phoneticPr fontId="1"/>
  </si>
  <si>
    <t>住所</t>
    <phoneticPr fontId="1"/>
  </si>
  <si>
    <t>作成者</t>
    <phoneticPr fontId="1"/>
  </si>
  <si>
    <t>地域の区分</t>
    <phoneticPr fontId="1"/>
  </si>
  <si>
    <t>断熱構造による住戸の種類</t>
    <phoneticPr fontId="1"/>
  </si>
  <si>
    <t>浴室の断熱構造</t>
    <phoneticPr fontId="1"/>
  </si>
  <si>
    <t>床断熱住戸</t>
    <phoneticPr fontId="1"/>
  </si>
  <si>
    <t>床断熱</t>
    <phoneticPr fontId="1"/>
  </si>
  <si>
    <t>屋根又は天井</t>
    <phoneticPr fontId="1"/>
  </si>
  <si>
    <t>外壁</t>
    <phoneticPr fontId="1"/>
  </si>
  <si>
    <t>一般部</t>
    <phoneticPr fontId="1"/>
  </si>
  <si>
    <t>基礎壁（玄関）</t>
    <phoneticPr fontId="1"/>
  </si>
  <si>
    <t>床</t>
    <phoneticPr fontId="1"/>
  </si>
  <si>
    <t>浴室</t>
    <phoneticPr fontId="1"/>
  </si>
  <si>
    <t>その他の床</t>
    <phoneticPr fontId="1"/>
  </si>
  <si>
    <t>窓</t>
    <phoneticPr fontId="1"/>
  </si>
  <si>
    <t>ドア</t>
    <phoneticPr fontId="1"/>
  </si>
  <si>
    <t>土間床等の外周部</t>
    <phoneticPr fontId="1"/>
  </si>
  <si>
    <t>玄関等</t>
    <phoneticPr fontId="1"/>
  </si>
  <si>
    <t>冷房期の平均日射熱取得率 𝜂஺஼</t>
    <phoneticPr fontId="1"/>
  </si>
  <si>
    <t>外皮平均熱貫流率 𝑈஺</t>
    <phoneticPr fontId="1"/>
  </si>
  <si>
    <t>基礎断熱</t>
    <phoneticPr fontId="1"/>
  </si>
  <si>
    <t>基礎壁（浴室）</t>
    <phoneticPr fontId="1"/>
  </si>
  <si>
    <t>外気等に接する浴室床なし</t>
    <phoneticPr fontId="1"/>
  </si>
  <si>
    <t>基礎断熱住戸</t>
    <phoneticPr fontId="1"/>
  </si>
  <si>
    <t>番号</t>
    <rPh sb="0" eb="2">
      <t>バンゴウ</t>
    </rPh>
    <phoneticPr fontId="1"/>
  </si>
  <si>
    <t>４－１－</t>
    <phoneticPr fontId="1"/>
  </si>
  <si>
    <t>主たる居室</t>
    <phoneticPr fontId="1"/>
  </si>
  <si>
    <t>その他の居室</t>
    <phoneticPr fontId="1"/>
  </si>
  <si>
    <t>暖房方式</t>
    <phoneticPr fontId="1"/>
  </si>
  <si>
    <t>設置なし</t>
    <phoneticPr fontId="1"/>
  </si>
  <si>
    <t>暖房期の平均日射熱取得率 𝜂𝐴H[-]</t>
    <phoneticPr fontId="1"/>
  </si>
  <si>
    <t>暖房設備 ［（1）の数字を転記］</t>
    <phoneticPr fontId="1"/>
  </si>
  <si>
    <t xml:space="preserve">冷房設備 ［（2）の数字を転記］ </t>
    <phoneticPr fontId="1"/>
  </si>
  <si>
    <t>換気設備 ［（3）の数字を転記］</t>
    <phoneticPr fontId="1"/>
  </si>
  <si>
    <t>給湯設備 ［（4）の数字を転記］</t>
    <phoneticPr fontId="1"/>
  </si>
  <si>
    <t>照明設備 ［（5）の数字を転記］</t>
    <phoneticPr fontId="1"/>
  </si>
  <si>
    <t>(1） 外皮性能と暖房設備</t>
    <phoneticPr fontId="1"/>
  </si>
  <si>
    <t>外皮平均熱貫流率 𝑈𝐴</t>
    <phoneticPr fontId="1"/>
  </si>
  <si>
    <t>&lt;=</t>
    <phoneticPr fontId="1"/>
  </si>
  <si>
    <t>_xDF02_𝐴H[-]</t>
    <phoneticPr fontId="1"/>
  </si>
  <si>
    <t>ポイント</t>
    <phoneticPr fontId="1"/>
  </si>
  <si>
    <t>UA</t>
    <phoneticPr fontId="1"/>
  </si>
  <si>
    <t>&lt;</t>
    <phoneticPr fontId="1"/>
  </si>
  <si>
    <t>𝜂𝐴c[-]</t>
    <phoneticPr fontId="1"/>
  </si>
  <si>
    <t>（3） 換気設備</t>
    <phoneticPr fontId="1"/>
  </si>
  <si>
    <t>※該当するものに してポイントを確認してください。</t>
    <phoneticPr fontId="1"/>
  </si>
  <si>
    <t>種類</t>
    <phoneticPr fontId="1"/>
  </si>
  <si>
    <t>ダクト式第 1 種換気設</t>
    <phoneticPr fontId="1"/>
  </si>
  <si>
    <t>ダクト式第 2 種換気設備またはダクト式第 3 種換気設備</t>
    <phoneticPr fontId="1"/>
  </si>
  <si>
    <t>壁付け式第 1 種換気設備</t>
    <phoneticPr fontId="1"/>
  </si>
  <si>
    <t>壁付け式第 2 種換気設備または壁付け式第 3 種換気設備</t>
    <phoneticPr fontId="1"/>
  </si>
  <si>
    <t>（4） 給湯設備</t>
    <phoneticPr fontId="1"/>
  </si>
  <si>
    <t>節湯水栓 ※1</t>
    <phoneticPr fontId="1"/>
  </si>
  <si>
    <t>ガス従来型給湯機</t>
    <phoneticPr fontId="1"/>
  </si>
  <si>
    <t>ガス潜熱回収型給湯機</t>
    <phoneticPr fontId="1"/>
  </si>
  <si>
    <t>石油従来型給湯機</t>
    <phoneticPr fontId="1"/>
  </si>
  <si>
    <t>石油潜熱回収型給湯機</t>
    <phoneticPr fontId="1"/>
  </si>
  <si>
    <t>電気ヒートポンプ給湯機（CO2冷媒）</t>
    <phoneticPr fontId="1"/>
  </si>
  <si>
    <t>なし</t>
    <phoneticPr fontId="1"/>
  </si>
  <si>
    <t>あり</t>
    <phoneticPr fontId="1"/>
  </si>
  <si>
    <t>(5） 照明設備</t>
    <phoneticPr fontId="1"/>
  </si>
  <si>
    <t>※1：節湯水栓は「台所」「浴室シャワー」「洗面」のすべてにおいて、下記に示す機能を有する水栓を設置している場合に「あり」を選択することができる。
「台所」：手元止水機能あるいは水優先吐水機能
「浴室シャワー」：手元止水機能あるいは小流量吐水機能
「洗面」：水優先吐水機能</t>
    <phoneticPr fontId="1"/>
  </si>
  <si>
    <t>※主たる居室とその他の居室のすべての機器について、該当する組み合わせに してポイントを確認してください。ただし、非居室の照明器具は、白熱灯以外の照明器具を設置している場合に限ります。</t>
    <phoneticPr fontId="1"/>
  </si>
  <si>
    <t>主たる居室の照明器具 ※2</t>
    <phoneticPr fontId="1"/>
  </si>
  <si>
    <t>その他の居室の照明器具 ※2</t>
    <phoneticPr fontId="1"/>
  </si>
  <si>
    <t xml:space="preserve">設置なし </t>
    <phoneticPr fontId="1"/>
  </si>
  <si>
    <t>LED</t>
    <phoneticPr fontId="1"/>
  </si>
  <si>
    <t>白熱灯以外</t>
    <phoneticPr fontId="1"/>
  </si>
  <si>
    <t>白熱灯</t>
    <phoneticPr fontId="1"/>
  </si>
  <si>
    <t>□</t>
    <phoneticPr fontId="1"/>
  </si>
  <si>
    <t>※2：「LED」 :すべての機器において LED を使用している
「白熱灯以外」：すべての機器において白熱灯以外を使用している
「白熱灯」：いずれかの機器において白熱灯を使用している</t>
    <phoneticPr fontId="1"/>
  </si>
  <si>
    <t>4-エネ-1</t>
    <phoneticPr fontId="1"/>
  </si>
  <si>
    <t>4-エネ-2</t>
    <phoneticPr fontId="1"/>
  </si>
  <si>
    <t>4-エネ-3</t>
    <phoneticPr fontId="1"/>
  </si>
  <si>
    <t>4-エネ-4</t>
    <phoneticPr fontId="1"/>
  </si>
  <si>
    <t>4-エネ-5</t>
    <phoneticPr fontId="1"/>
  </si>
  <si>
    <t>主たる居室</t>
    <phoneticPr fontId="1"/>
  </si>
  <si>
    <t>その他の居室</t>
    <phoneticPr fontId="1"/>
  </si>
  <si>
    <t>FF 暖房機</t>
    <phoneticPr fontId="1"/>
  </si>
  <si>
    <t>ルームエアコンディショナー</t>
    <phoneticPr fontId="1"/>
  </si>
  <si>
    <t>2022 年 4 月版</t>
    <phoneticPr fontId="1"/>
  </si>
  <si>
    <t>シート番号： 4-エネ-1</t>
    <phoneticPr fontId="1"/>
  </si>
  <si>
    <t>一次エネルギー消費性能</t>
    <phoneticPr fontId="1"/>
  </si>
  <si>
    <t>※下記の太枠内に数値を記入してください。</t>
    <phoneticPr fontId="1"/>
  </si>
  <si>
    <t>外皮平均熱貫流率 _xDC48_𝑈𝐴_xDC34_[W/(㎡・ K)]</t>
    <phoneticPr fontId="1"/>
  </si>
  <si>
    <t>冷房期の平均日射熱取得率 𝜂_xD835_𝐴_xD835_c_xD835_[-]</t>
    <phoneticPr fontId="1"/>
  </si>
  <si>
    <t>暖房期の平均日射熱取得率 𝜂_xD835_𝐴_xD835_H_xD835_[-]</t>
    <phoneticPr fontId="1"/>
  </si>
  <si>
    <t>※下記の太枠内にポイントを記入してください。</t>
    <phoneticPr fontId="1"/>
  </si>
  <si>
    <t>一次エネルギー消費性能のポイント</t>
    <phoneticPr fontId="1"/>
  </si>
  <si>
    <t>（ア）～（オ）の合計</t>
    <phoneticPr fontId="1"/>
  </si>
  <si>
    <t>（100 ポイント以下であれば基準適合）</t>
    <phoneticPr fontId="1"/>
  </si>
  <si>
    <t>＝</t>
    <phoneticPr fontId="1"/>
  </si>
  <si>
    <t>(ア)</t>
    <phoneticPr fontId="1"/>
  </si>
  <si>
    <t>(イ)</t>
    <phoneticPr fontId="1"/>
  </si>
  <si>
    <t>(ウ)</t>
    <phoneticPr fontId="1"/>
  </si>
  <si>
    <t>(エ)</t>
    <phoneticPr fontId="1"/>
  </si>
  <si>
    <t>(オ)</t>
    <phoneticPr fontId="1"/>
  </si>
  <si>
    <t>年</t>
    <phoneticPr fontId="1"/>
  </si>
  <si>
    <t>月</t>
    <phoneticPr fontId="1"/>
  </si>
  <si>
    <t xml:space="preserve">日 </t>
    <phoneticPr fontId="1"/>
  </si>
  <si>
    <t>-</t>
    <phoneticPr fontId="1"/>
  </si>
  <si>
    <t>―エネ―</t>
    <phoneticPr fontId="1"/>
  </si>
  <si>
    <t>シート番号：</t>
    <phoneticPr fontId="1"/>
  </si>
  <si>
    <t>作成年月日</t>
    <phoneticPr fontId="1"/>
  </si>
  <si>
    <t>―1―</t>
    <phoneticPr fontId="1"/>
  </si>
  <si>
    <t>構造</t>
    <rPh sb="0" eb="2">
      <t>コウゾウ</t>
    </rPh>
    <phoneticPr fontId="1"/>
  </si>
  <si>
    <t>外皮平均熱貫流率 𝑈A</t>
    <phoneticPr fontId="1"/>
  </si>
  <si>
    <t>・一つの部位に複数の異なる仕様を有する場合は、熱貫流率が最も大きな仕様の熱貫流率とする。窓の面積が単位住戸の床面積の合計に 0.02 を乗じた数値以下となる場合は当該窓の仕様を対象外とすることができる。</t>
    <phoneticPr fontId="1"/>
  </si>
  <si>
    <t>(1)</t>
    <phoneticPr fontId="1"/>
  </si>
  <si>
    <t>(3)</t>
    <phoneticPr fontId="1"/>
  </si>
  <si>
    <t>(4)</t>
    <phoneticPr fontId="1"/>
  </si>
  <si>
    <t>(5)</t>
    <phoneticPr fontId="1"/>
  </si>
  <si>
    <t>(6)</t>
    <phoneticPr fontId="1"/>
  </si>
  <si>
    <t>(7)</t>
    <phoneticPr fontId="1"/>
  </si>
  <si>
    <t>(8)</t>
    <phoneticPr fontId="1"/>
  </si>
  <si>
    <t>=</t>
    <phoneticPr fontId="1"/>
  </si>
  <si>
    <t>↑小数点第４位以下を切り上げ</t>
    <rPh sb="1" eb="4">
      <t>ショウスウテン</t>
    </rPh>
    <rPh sb="4" eb="5">
      <t>ダイ</t>
    </rPh>
    <rPh sb="6" eb="7">
      <t>イ</t>
    </rPh>
    <rPh sb="7" eb="9">
      <t>イカ</t>
    </rPh>
    <rPh sb="10" eb="11">
      <t>キ</t>
    </rPh>
    <rPh sb="12" eb="13">
      <t>ア</t>
    </rPh>
    <phoneticPr fontId="1"/>
  </si>
  <si>
    <t>結果</t>
    <rPh sb="0" eb="2">
      <t>ケッカ</t>
    </rPh>
    <phoneticPr fontId="1"/>
  </si>
  <si>
    <t>×</t>
    <phoneticPr fontId="1"/>
  </si>
  <si>
    <t>係数</t>
    <phoneticPr fontId="1"/>
  </si>
  <si>
    <t>線熱貫流率𝜓</t>
    <phoneticPr fontId="1"/>
  </si>
  <si>
    <t>熱貫流率𝑈</t>
    <phoneticPr fontId="1"/>
  </si>
  <si>
    <t>　</t>
    <phoneticPr fontId="1"/>
  </si>
  <si>
    <t>(2)</t>
    <phoneticPr fontId="1"/>
  </si>
  <si>
    <t>暖房方式</t>
    <phoneticPr fontId="1"/>
  </si>
  <si>
    <t>地域の区分</t>
    <phoneticPr fontId="1"/>
  </si>
  <si>
    <t>4 地域</t>
    <phoneticPr fontId="1"/>
  </si>
  <si>
    <t>（2） 外皮性能と冷房設備</t>
    <phoneticPr fontId="1"/>
  </si>
  <si>
    <t>シート番号： 4-エネ-2</t>
    <phoneticPr fontId="1"/>
  </si>
  <si>
    <t>シート番号： 4-エネ-3</t>
    <phoneticPr fontId="1"/>
  </si>
  <si>
    <t>温水床暖房（石油潜熱回収型温水暖房機）</t>
    <phoneticPr fontId="1"/>
  </si>
  <si>
    <t>シート番号： 4-エネ-4</t>
    <phoneticPr fontId="1"/>
  </si>
  <si>
    <t>温水床暖房（ガス潜熱回収型温水暖房機）</t>
    <phoneticPr fontId="1"/>
  </si>
  <si>
    <t>シート番号： 4-エネ-5</t>
    <phoneticPr fontId="1"/>
  </si>
  <si>
    <t>5地域</t>
    <phoneticPr fontId="1"/>
  </si>
  <si>
    <t>シート番号： 5-エネ-1</t>
    <phoneticPr fontId="1"/>
  </si>
  <si>
    <t>シート番号： 5-エネ-2</t>
    <phoneticPr fontId="1"/>
  </si>
  <si>
    <t>シート番号： 5-エネ-3</t>
    <phoneticPr fontId="1"/>
  </si>
  <si>
    <t>シート番号： 5-エネ-4</t>
    <phoneticPr fontId="1"/>
  </si>
  <si>
    <t>5-エネ-1</t>
    <phoneticPr fontId="1"/>
  </si>
  <si>
    <t>5-エネ-2</t>
    <phoneticPr fontId="1"/>
  </si>
  <si>
    <t>5-エネ-3</t>
    <phoneticPr fontId="1"/>
  </si>
  <si>
    <t>5-エネ-4</t>
    <phoneticPr fontId="1"/>
  </si>
  <si>
    <t>6地域</t>
    <phoneticPr fontId="1"/>
  </si>
  <si>
    <t>6-エネ-1</t>
    <phoneticPr fontId="1"/>
  </si>
  <si>
    <t>6-エネ-2</t>
    <phoneticPr fontId="1"/>
  </si>
  <si>
    <t>6-エネ-3</t>
    <phoneticPr fontId="1"/>
  </si>
  <si>
    <t>6-エネ-4</t>
    <phoneticPr fontId="1"/>
  </si>
  <si>
    <t>シート番号：6-エネ-1</t>
    <phoneticPr fontId="1"/>
  </si>
  <si>
    <t>シート番号： 6-エネ-2</t>
    <phoneticPr fontId="1"/>
  </si>
  <si>
    <t>シート番号： 6-エネ-3</t>
    <phoneticPr fontId="1"/>
  </si>
  <si>
    <t>シート番号： 6-エネ-4</t>
    <phoneticPr fontId="1"/>
  </si>
  <si>
    <t>7-エネ-1</t>
    <phoneticPr fontId="1"/>
  </si>
  <si>
    <t>7-エネ-2</t>
    <phoneticPr fontId="1"/>
  </si>
  <si>
    <t>7-エネ-3</t>
    <phoneticPr fontId="1"/>
  </si>
  <si>
    <t>7-エネ-4</t>
    <phoneticPr fontId="1"/>
  </si>
  <si>
    <t>7地域</t>
    <phoneticPr fontId="1"/>
  </si>
  <si>
    <t>シート番号：7-エネ-1</t>
    <phoneticPr fontId="1"/>
  </si>
  <si>
    <t>シート番号：7-エネ-2</t>
    <phoneticPr fontId="1"/>
  </si>
  <si>
    <t>シート番号：7-エネ-3</t>
    <phoneticPr fontId="1"/>
  </si>
  <si>
    <t>シート番号： 7-エネ-4</t>
    <phoneticPr fontId="1"/>
  </si>
  <si>
    <t>※当該住宅の外皮平均熱貫流率と 暖房期の平均日射熱取得率を確認し、該当する外皮性能値に して暖房設備のポイントを確認してください。ただし、 暖房期の平均日射熱取得率が 1.8 以上、床の熱貫流率（𝑈𝑈値） 0.48 W/㎡・ K 以下の場合に限ります。</t>
    <phoneticPr fontId="1"/>
  </si>
  <si>
    <t>※当該住宅の外皮平均熱貫流率と 暖房期の平均日射熱取得率を確認し、該当する外皮性能値に して暖房設備のポイントを確認してください。ただし、 暖房期の平均日射熱取得率が 1.8 以上の場合に限ります。</t>
  </si>
  <si>
    <t>※当該住宅の外皮平均熱貫流率と 冷房期の平均日射熱取得率を確認し、該当する外皮性能値に して冷房設備のポイントを確認してください。ただし、 冷房期の平均日射熱取得率が 4.3 以下の場合に限ります。</t>
    <phoneticPr fontId="1"/>
  </si>
  <si>
    <t>※当該住宅の外皮平均熱貫流率と 暖房期の平均日射熱取得率を確認し、該当する外皮性能値に して暖房設備のポイントを確認してください。ただし、 暖房期の平均日射熱取得率が 1.8 以上の場合に限ります。</t>
    <phoneticPr fontId="1"/>
  </si>
  <si>
    <t>※当該住宅の外皮平均熱貫流率と 暖房期の平均日射熱取得率を確認し、該当する外皮性能値に して暖房設備のポイントを確認してください。ただし、 暖房期の平均日射熱取得率が 2.1 以上の場合に限ります。</t>
    <phoneticPr fontId="1"/>
  </si>
  <si>
    <t>※当該住宅の外皮平均熱貫流率と 冷房期の平均日射熱取得率を確認し、該当する外皮性能値に して冷房設備のポイントを確認してください。ただし、 冷房期の平均日射熱取得率が 4.2 以下の場合に限ります。</t>
    <phoneticPr fontId="1"/>
  </si>
  <si>
    <t>※当該住宅の外皮平均熱貫流率と 暖房期の平均日射熱取得率を確認し、該当する外皮性能値に して暖房設備のポイントを確認してください。ただし、 暖房期の平均日射熱取得率が 2.1 以上、床の熱貫流率（𝑈𝑈値） 0.48 W/㎡・ K 以下の場合に限ります。</t>
    <phoneticPr fontId="1"/>
  </si>
  <si>
    <t>※当該住宅の外皮平均熱貫流率と 冷房期の平均日射熱取得率を確認し、該当する外皮性能値に して冷房設備のポイントを確認してください。ただし、 冷房期の平均日射熱取得率が 4.5 以下の場合に限ります。</t>
    <phoneticPr fontId="1"/>
  </si>
  <si>
    <t>地域</t>
    <rPh sb="0" eb="2">
      <t>チイキ</t>
    </rPh>
    <phoneticPr fontId="1"/>
  </si>
  <si>
    <t>木造</t>
    <rPh sb="0" eb="2">
      <t>モクゾウ</t>
    </rPh>
    <phoneticPr fontId="1"/>
  </si>
  <si>
    <t>床断熱住戸</t>
  </si>
  <si>
    <t>冷房期の平均日射熱取得率 𝜂AC</t>
    <phoneticPr fontId="1"/>
  </si>
  <si>
    <t>・一つの部位に複数の異なる仕様を有する場合は、熱貫流率が最も大きな仕様の熱貫流率とする。
・窓に複数の異なる仕様を有する場合は、垂直面日射熱取得率が最も大きな仕様の垂直面日射熱取得率とする。窓の面積が単位住戸床面積の合計に 0.04 を乗じた数値以下となる場合は当該窓の仕様を対象外とすることができる。</t>
    <phoneticPr fontId="1"/>
  </si>
  <si>
    <t>垂直面日射熱取得率𝜂d</t>
    <phoneticPr fontId="1"/>
  </si>
  <si>
    <t>(9)</t>
    <phoneticPr fontId="1"/>
  </si>
  <si>
    <t>(10)</t>
    <phoneticPr fontId="1"/>
  </si>
  <si>
    <t>(11)</t>
    <phoneticPr fontId="1"/>
  </si>
  <si>
    <t>(12)</t>
    <phoneticPr fontId="1"/>
  </si>
  <si>
    <t>(13)</t>
    <phoneticPr fontId="1"/>
  </si>
  <si>
    <r>
      <t>　　冷房期の平均日射熱取得率</t>
    </r>
    <r>
      <rPr>
        <b/>
        <sz val="14"/>
        <color theme="1"/>
        <rFont val="游ゴシック"/>
        <family val="3"/>
        <charset val="128"/>
        <scheme val="minor"/>
      </rPr>
      <t xml:space="preserve"> 𝜂</t>
    </r>
    <r>
      <rPr>
        <b/>
        <sz val="9"/>
        <color theme="1"/>
        <rFont val="游ゴシック"/>
        <family val="3"/>
        <charset val="128"/>
        <scheme val="minor"/>
      </rPr>
      <t>AC</t>
    </r>
    <r>
      <rPr>
        <b/>
        <sz val="11"/>
        <color theme="1"/>
        <rFont val="游ゴシック"/>
        <family val="3"/>
        <charset val="128"/>
        <scheme val="minor"/>
      </rPr>
      <t xml:space="preserve"> [-]</t>
    </r>
    <phoneticPr fontId="1"/>
  </si>
  <si>
    <t>　　外皮平均熱貫流率 𝑈஺A[W/(㎡・ K)]</t>
    <phoneticPr fontId="1"/>
  </si>
  <si>
    <t>暖房期の平均日射熱取得率 𝜂AH</t>
    <phoneticPr fontId="1"/>
  </si>
  <si>
    <t>※小数点第 2 位以下を切り捨て（基準値：なし）</t>
    <phoneticPr fontId="1"/>
  </si>
  <si>
    <t>地域</t>
    <rPh sb="0" eb="2">
      <t>チイキ</t>
    </rPh>
    <phoneticPr fontId="1"/>
  </si>
  <si>
    <t>浴室の断熱構造</t>
    <phoneticPr fontId="1"/>
  </si>
  <si>
    <t>(14)</t>
    <phoneticPr fontId="1"/>
  </si>
  <si>
    <t>(16)</t>
    <phoneticPr fontId="1"/>
  </si>
  <si>
    <t>(15)</t>
    <phoneticPr fontId="1"/>
  </si>
  <si>
    <t>(17)</t>
    <phoneticPr fontId="1"/>
  </si>
  <si>
    <t>(18)</t>
    <phoneticPr fontId="1"/>
  </si>
  <si>
    <t>(19)</t>
    <phoneticPr fontId="1"/>
  </si>
  <si>
    <t>(20)</t>
    <phoneticPr fontId="1"/>
  </si>
  <si>
    <t>(21)</t>
    <phoneticPr fontId="1"/>
  </si>
  <si>
    <t>(16)～(21)の合計</t>
    <phoneticPr fontId="1"/>
  </si>
  <si>
    <t>暖房期の平均日射熱取得率 𝜂஺ு</t>
    <phoneticPr fontId="1"/>
  </si>
  <si>
    <t>(1)～(10)の合計</t>
    <phoneticPr fontId="1"/>
  </si>
  <si>
    <t>(11)～(16)の合計</t>
    <phoneticPr fontId="1"/>
  </si>
  <si>
    <t>ー</t>
    <phoneticPr fontId="1"/>
  </si>
  <si>
    <t>ηAC</t>
    <phoneticPr fontId="1"/>
  </si>
  <si>
    <t>ηAH</t>
    <phoneticPr fontId="1"/>
  </si>
  <si>
    <t>UA</t>
    <phoneticPr fontId="1"/>
  </si>
  <si>
    <t>基準値</t>
    <rPh sb="0" eb="3">
      <t>キジュンチ</t>
    </rPh>
    <phoneticPr fontId="1"/>
  </si>
  <si>
    <t xml:space="preserve"> [W/(㎡・ K)]</t>
    <phoneticPr fontId="1"/>
  </si>
  <si>
    <t>※小数点第３位以下を切り上げ</t>
    <phoneticPr fontId="1"/>
  </si>
  <si>
    <t>※小数点第 2 位以下を切り上げ</t>
    <phoneticPr fontId="1"/>
  </si>
  <si>
    <t>基準値</t>
    <phoneticPr fontId="1"/>
  </si>
  <si>
    <t>設計値</t>
    <rPh sb="0" eb="2">
      <t>セッケイ</t>
    </rPh>
    <rPh sb="2" eb="3">
      <t>チ</t>
    </rPh>
    <phoneticPr fontId="1"/>
  </si>
  <si>
    <t>地域</t>
    <phoneticPr fontId="1"/>
  </si>
  <si>
    <t>指定地域</t>
    <rPh sb="0" eb="2">
      <t>シテイ</t>
    </rPh>
    <rPh sb="2" eb="4">
      <t>チイキ</t>
    </rPh>
    <phoneticPr fontId="1"/>
  </si>
  <si>
    <t>↑小数点第４位以下を切り捨て</t>
    <phoneticPr fontId="1"/>
  </si>
  <si>
    <t>入力確認</t>
    <phoneticPr fontId="1"/>
  </si>
  <si>
    <t>構造番号１</t>
    <rPh sb="0" eb="4">
      <t>コウゾウバンゴウ</t>
    </rPh>
    <phoneticPr fontId="1"/>
  </si>
  <si>
    <t>構造番号２</t>
    <phoneticPr fontId="1"/>
  </si>
  <si>
    <t>構造番号３</t>
    <phoneticPr fontId="1"/>
  </si>
  <si>
    <t>構造番号４</t>
    <phoneticPr fontId="1"/>
  </si>
  <si>
    <t>8以上</t>
    <rPh sb="1" eb="3">
      <t>イジョウ</t>
    </rPh>
    <phoneticPr fontId="1"/>
  </si>
  <si>
    <t>浴室構造番号</t>
    <rPh sb="0" eb="2">
      <t>ヨクシツ</t>
    </rPh>
    <rPh sb="2" eb="6">
      <t>コウゾウバンゴウ</t>
    </rPh>
    <phoneticPr fontId="1"/>
  </si>
  <si>
    <t>断熱構造番号</t>
    <rPh sb="0" eb="4">
      <t>ダンネツコウゾウ</t>
    </rPh>
    <rPh sb="4" eb="6">
      <t>バンゴウ</t>
    </rPh>
    <phoneticPr fontId="1"/>
  </si>
  <si>
    <t>９以上</t>
    <phoneticPr fontId="1"/>
  </si>
  <si>
    <t>7以上</t>
    <phoneticPr fontId="1"/>
  </si>
  <si>
    <t>8以上</t>
    <phoneticPr fontId="1"/>
  </si>
  <si>
    <t>≧</t>
    <phoneticPr fontId="1"/>
  </si>
  <si>
    <t>５～７</t>
    <phoneticPr fontId="1"/>
  </si>
  <si>
    <t>UA=</t>
    <phoneticPr fontId="1"/>
  </si>
  <si>
    <t>ηAH</t>
    <phoneticPr fontId="1"/>
  </si>
  <si>
    <t>暖房期の平均日射熱取得率ηAC[-]</t>
    <phoneticPr fontId="1"/>
  </si>
  <si>
    <t>暖房方式</t>
    <rPh sb="0" eb="4">
      <t>ダンボウホウシキ</t>
    </rPh>
    <phoneticPr fontId="1"/>
  </si>
  <si>
    <t>ηAC</t>
    <phoneticPr fontId="1"/>
  </si>
  <si>
    <t>UA</t>
    <phoneticPr fontId="1"/>
  </si>
  <si>
    <t>ポイント</t>
    <phoneticPr fontId="1"/>
  </si>
  <si>
    <t>抽出</t>
    <rPh sb="0" eb="2">
      <t>チュウシュツ</t>
    </rPh>
    <phoneticPr fontId="1"/>
  </si>
  <si>
    <r>
      <t xml:space="preserve">※当該住宅の外皮平均熱貫流率と 暖房期の平均日射熱取得率を確認し、該当する外皮性能値に して暖房設備のポイントを確認してください。ただし、 </t>
    </r>
    <r>
      <rPr>
        <b/>
        <sz val="11"/>
        <color theme="1"/>
        <rFont val="游ゴシック"/>
        <family val="3"/>
        <charset val="128"/>
        <scheme val="minor"/>
      </rPr>
      <t>暖房期の平均日射熱取得率が 1.7 以上の場合に限ります。</t>
    </r>
    <phoneticPr fontId="1"/>
  </si>
  <si>
    <r>
      <t>※当該住宅の外皮平均熱貫流率と 暖房期の平均日射熱取得率を確認し、該当する外皮性能値に して暖房設備のポイントを確認してください。</t>
    </r>
    <r>
      <rPr>
        <b/>
        <sz val="11"/>
        <color theme="1"/>
        <rFont val="游ゴシック"/>
        <family val="3"/>
        <charset val="128"/>
        <scheme val="minor"/>
      </rPr>
      <t>ただし、 暖房期の平均日射熱取得率が 1.7 以上の場合に限ります。</t>
    </r>
    <phoneticPr fontId="1"/>
  </si>
  <si>
    <r>
      <t>※当該住宅の外皮平均熱貫流率と 暖房期の平均日射熱取得率を確認し、該当する外皮性能値に して暖房設備のポイントを確認してください。</t>
    </r>
    <r>
      <rPr>
        <b/>
        <sz val="11"/>
        <color theme="1"/>
        <rFont val="游ゴシック"/>
        <family val="3"/>
        <charset val="128"/>
        <scheme val="minor"/>
      </rPr>
      <t>ただし、 暖房期の平均日射熱取得率が</t>
    </r>
    <r>
      <rPr>
        <sz val="11"/>
        <color theme="1"/>
        <rFont val="游ゴシック"/>
        <family val="2"/>
        <charset val="128"/>
        <scheme val="minor"/>
      </rPr>
      <t xml:space="preserve"> </t>
    </r>
    <r>
      <rPr>
        <b/>
        <sz val="11"/>
        <color theme="1"/>
        <rFont val="游ゴシック"/>
        <family val="3"/>
        <charset val="128"/>
        <scheme val="minor"/>
      </rPr>
      <t>1.7 以上、床の熱貫流率（𝑈𝑈値） 0.48 W/㎡・ K 以下の場合に限ります。</t>
    </r>
    <phoneticPr fontId="1"/>
  </si>
  <si>
    <r>
      <t>※当該住宅の外皮平均熱貫流率と 暖房期の平均日射熱取得率を確認し、該当する外皮性能値に して暖房設備のポイントを確認してください。</t>
    </r>
    <r>
      <rPr>
        <b/>
        <sz val="11"/>
        <color theme="1"/>
        <rFont val="游ゴシック"/>
        <family val="3"/>
        <charset val="128"/>
        <scheme val="minor"/>
      </rPr>
      <t>ただし、 暖房期の平均日射熱取得率が 1.7 以上、床の熱貫流率（𝑈𝑈値） 0.48 W/㎡・ K 以下の場合に限ります。</t>
    </r>
    <phoneticPr fontId="1"/>
  </si>
  <si>
    <r>
      <t>※当該住宅の外皮平均熱貫流率と 暖房期の平均日射熱取得率を確認し、該当する外皮性能値に して暖房設備のポイントを確認してください。</t>
    </r>
    <r>
      <rPr>
        <b/>
        <sz val="11"/>
        <color theme="1"/>
        <rFont val="游ゴシック"/>
        <family val="3"/>
        <charset val="128"/>
        <scheme val="minor"/>
      </rPr>
      <t>ただし、 暖房期の平均日射熱取得率が 2.0 以上、床の熱貫流率（𝑈𝑈値） 0.48 W/㎡・ K 以下の場合に限ります。</t>
    </r>
    <phoneticPr fontId="1"/>
  </si>
  <si>
    <r>
      <t>※当該住宅の外皮平均熱貫流率と 暖房期の平均日射熱取得率を確認し、該当する外皮性能値に して暖房設備のポイントを確認してください。</t>
    </r>
    <r>
      <rPr>
        <b/>
        <sz val="11"/>
        <color theme="1"/>
        <rFont val="游ゴシック"/>
        <family val="3"/>
        <charset val="128"/>
        <scheme val="minor"/>
      </rPr>
      <t>ただし、 暖房期の平均日射熱取得率が 2.0 以上の場合に限ります。</t>
    </r>
    <phoneticPr fontId="1"/>
  </si>
  <si>
    <t>判断</t>
    <rPh sb="0" eb="2">
      <t>ハンダン</t>
    </rPh>
    <phoneticPr fontId="1"/>
  </si>
  <si>
    <t>暖房方式番号</t>
    <rPh sb="0" eb="4">
      <t>ダンボウホウシキ</t>
    </rPh>
    <rPh sb="4" eb="6">
      <t>バンゴウ</t>
    </rPh>
    <phoneticPr fontId="1"/>
  </si>
  <si>
    <t>行</t>
    <rPh sb="0" eb="1">
      <t>ギョウ</t>
    </rPh>
    <phoneticPr fontId="1"/>
  </si>
  <si>
    <t>(1)暖房設備ポイント抽出</t>
    <rPh sb="3" eb="5">
      <t>ダンボウ</t>
    </rPh>
    <rPh sb="5" eb="7">
      <t>セツビ</t>
    </rPh>
    <rPh sb="11" eb="13">
      <t>チュウシュツ</t>
    </rPh>
    <phoneticPr fontId="1"/>
  </si>
  <si>
    <t>冷房方式</t>
    <rPh sb="0" eb="2">
      <t>レイボウ</t>
    </rPh>
    <rPh sb="2" eb="4">
      <t>ホウシキ</t>
    </rPh>
    <phoneticPr fontId="1"/>
  </si>
  <si>
    <t>(２)冷房設備ポイント抽出</t>
    <rPh sb="3" eb="5">
      <t>レイボウ</t>
    </rPh>
    <rPh sb="5" eb="7">
      <t>セツビ</t>
    </rPh>
    <rPh sb="11" eb="13">
      <t>チュウシュツ</t>
    </rPh>
    <phoneticPr fontId="1"/>
  </si>
  <si>
    <r>
      <t>※当該住宅の外皮平均熱貫流率と 冷房期の平均日射熱取得率を確認し、該当する外皮性能値に して冷房設備のポイントを確認してください。</t>
    </r>
    <r>
      <rPr>
        <b/>
        <sz val="11"/>
        <color theme="1"/>
        <rFont val="游ゴシック"/>
        <family val="3"/>
        <charset val="128"/>
        <scheme val="minor"/>
      </rPr>
      <t>ただし、 冷房期の平均日射熱取得率が 4.2 以下の場合に限ります。</t>
    </r>
    <phoneticPr fontId="1"/>
  </si>
  <si>
    <t>暖房設備</t>
    <rPh sb="0" eb="4">
      <t>ダンボウセツビ</t>
    </rPh>
    <phoneticPr fontId="1"/>
  </si>
  <si>
    <t>冷房設備</t>
    <rPh sb="0" eb="4">
      <t>レイボウセツビ</t>
    </rPh>
    <phoneticPr fontId="1"/>
  </si>
  <si>
    <t>換気設備</t>
    <phoneticPr fontId="1"/>
  </si>
  <si>
    <t>給湯設備</t>
    <phoneticPr fontId="1"/>
  </si>
  <si>
    <t>照明設備</t>
    <phoneticPr fontId="1"/>
  </si>
  <si>
    <t>暖房方式番号</t>
    <rPh sb="0" eb="6">
      <t>ダンボウホウシキバンゴウ</t>
    </rPh>
    <phoneticPr fontId="1"/>
  </si>
  <si>
    <t>ηAHが基準以外は「０」表示</t>
    <rPh sb="4" eb="6">
      <t>キジュン</t>
    </rPh>
    <rPh sb="6" eb="8">
      <t>イガイ</t>
    </rPh>
    <rPh sb="12" eb="14">
      <t>ヒョウジ</t>
    </rPh>
    <phoneticPr fontId="1"/>
  </si>
  <si>
    <t>ηACが基準以外は「０」表示</t>
    <rPh sb="4" eb="6">
      <t>キジュン</t>
    </rPh>
    <rPh sb="6" eb="8">
      <t>イガイ</t>
    </rPh>
    <rPh sb="12" eb="14">
      <t>ヒョウジ</t>
    </rPh>
    <phoneticPr fontId="1"/>
  </si>
  <si>
    <t>暖房設備ポイント</t>
    <rPh sb="0" eb="4">
      <t>ダンボウセツビ</t>
    </rPh>
    <phoneticPr fontId="1"/>
  </si>
  <si>
    <t>冷房設備ポイント</t>
    <rPh sb="0" eb="4">
      <t>レイボウセツビ</t>
    </rPh>
    <phoneticPr fontId="1"/>
  </si>
  <si>
    <t>（1） 外皮性能と暖房設備</t>
    <phoneticPr fontId="1"/>
  </si>
  <si>
    <t>種類</t>
    <rPh sb="0" eb="2">
      <t>シュルイ</t>
    </rPh>
    <phoneticPr fontId="1"/>
  </si>
  <si>
    <t>※1：節湯水栓は「台所」「浴室シャワー」「洗面」のすべてにおいて、下記に示す機能を有する水栓を設置している場合に「あり」を選択することができる。</t>
    <phoneticPr fontId="1"/>
  </si>
  <si>
    <t>「台所」：手元止水機能あるいは水優先吐水機能
「浴室シャワー」：手元止水機能あるいは小流量吐水機能
「洗面」：水優先吐水機能</t>
    <phoneticPr fontId="1"/>
  </si>
  <si>
    <t>※該当するものを選択してください。</t>
    <rPh sb="8" eb="10">
      <t>センタク</t>
    </rPh>
    <phoneticPr fontId="1"/>
  </si>
  <si>
    <t>次ページから設備を選択してください。</t>
    <rPh sb="0" eb="1">
      <t>ジ</t>
    </rPh>
    <rPh sb="6" eb="8">
      <t>セツビ</t>
    </rPh>
    <rPh sb="9" eb="11">
      <t>センタク</t>
    </rPh>
    <phoneticPr fontId="1"/>
  </si>
  <si>
    <t>選択された種類番号</t>
    <rPh sb="0" eb="2">
      <t>センタク</t>
    </rPh>
    <rPh sb="5" eb="7">
      <t>シュルイ</t>
    </rPh>
    <rPh sb="7" eb="9">
      <t>バンゴウ</t>
    </rPh>
    <phoneticPr fontId="1"/>
  </si>
  <si>
    <t>1□</t>
    <phoneticPr fontId="1"/>
  </si>
  <si>
    <t>2□</t>
    <phoneticPr fontId="1"/>
  </si>
  <si>
    <t>3□</t>
    <phoneticPr fontId="1"/>
  </si>
  <si>
    <t>4□</t>
    <phoneticPr fontId="1"/>
  </si>
  <si>
    <t>番号</t>
    <rPh sb="0" eb="2">
      <t>バンゴウ</t>
    </rPh>
    <phoneticPr fontId="1"/>
  </si>
  <si>
    <t>給湯設備 認識番号</t>
    <rPh sb="5" eb="9">
      <t>ニンシキバンゴウ</t>
    </rPh>
    <phoneticPr fontId="1"/>
  </si>
  <si>
    <t>種類番号</t>
    <rPh sb="2" eb="4">
      <t>バンゴウ</t>
    </rPh>
    <phoneticPr fontId="1"/>
  </si>
  <si>
    <t>節湯水栓有無</t>
    <rPh sb="4" eb="6">
      <t>ウム</t>
    </rPh>
    <phoneticPr fontId="1"/>
  </si>
  <si>
    <t>主居室番号</t>
    <rPh sb="3" eb="5">
      <t>バンゴウ</t>
    </rPh>
    <phoneticPr fontId="1"/>
  </si>
  <si>
    <t>その他居室</t>
    <rPh sb="2" eb="3">
      <t>ホカ</t>
    </rPh>
    <rPh sb="3" eb="5">
      <t>キョシツ</t>
    </rPh>
    <phoneticPr fontId="1"/>
  </si>
  <si>
    <t>照明設備 認識番号</t>
    <rPh sb="5" eb="9">
      <t>ニンシキバンゴウ</t>
    </rPh>
    <phoneticPr fontId="1"/>
  </si>
  <si>
    <t>エネ-5</t>
    <phoneticPr fontId="1"/>
  </si>
  <si>
    <t>地域</t>
    <phoneticPr fontId="1"/>
  </si>
  <si>
    <t>ポイント</t>
    <phoneticPr fontId="1"/>
  </si>
  <si>
    <t>FF暖房機</t>
    <rPh sb="2" eb="5">
      <t>ダンボウキ</t>
    </rPh>
    <phoneticPr fontId="1"/>
  </si>
  <si>
    <t>FF暖房機</t>
    <phoneticPr fontId="1"/>
  </si>
  <si>
    <t>5-エネ-</t>
    <phoneticPr fontId="1"/>
  </si>
  <si>
    <t>7-エネ-</t>
    <phoneticPr fontId="1"/>
  </si>
  <si>
    <t>6-エネ-</t>
    <phoneticPr fontId="1"/>
  </si>
  <si>
    <t>FF 暖房機</t>
    <phoneticPr fontId="1"/>
  </si>
  <si>
    <t>設置なし</t>
    <phoneticPr fontId="1"/>
  </si>
  <si>
    <t>ルームエアコンディショナー</t>
    <phoneticPr fontId="1"/>
  </si>
  <si>
    <t>温水床暖房（石油潜熱回収型温水暖房機）</t>
    <phoneticPr fontId="1"/>
  </si>
  <si>
    <t>温水床暖房（ガス潜熱回収型温水暖房機）</t>
    <phoneticPr fontId="1"/>
  </si>
  <si>
    <t>暖房方式組み合わせ</t>
    <rPh sb="0" eb="4">
      <t>ダンボウホウシキ</t>
    </rPh>
    <rPh sb="4" eb="5">
      <t>ク</t>
    </rPh>
    <rPh sb="6" eb="7">
      <t>ア</t>
    </rPh>
    <phoneticPr fontId="1"/>
  </si>
  <si>
    <t>暖房方式番号</t>
    <rPh sb="0" eb="2">
      <t>ダンボウ</t>
    </rPh>
    <rPh sb="2" eb="4">
      <t>ホウシキ</t>
    </rPh>
    <rPh sb="4" eb="6">
      <t>バンゴウ</t>
    </rPh>
    <phoneticPr fontId="1"/>
  </si>
  <si>
    <t>地域</t>
    <rPh sb="0" eb="2">
      <t>チイキ</t>
    </rPh>
    <phoneticPr fontId="1"/>
  </si>
  <si>
    <t>番号</t>
    <rPh sb="0" eb="2">
      <t>バンゴウ</t>
    </rPh>
    <phoneticPr fontId="1"/>
  </si>
  <si>
    <t>地域</t>
    <rPh sb="0" eb="2">
      <t>チイキ</t>
    </rPh>
    <phoneticPr fontId="1"/>
  </si>
  <si>
    <t>5地域</t>
    <rPh sb="1" eb="3">
      <t>チイキ</t>
    </rPh>
    <phoneticPr fontId="1"/>
  </si>
  <si>
    <t>6地域</t>
    <rPh sb="1" eb="3">
      <t>チイキ</t>
    </rPh>
    <phoneticPr fontId="1"/>
  </si>
  <si>
    <t>4地域</t>
    <rPh sb="1" eb="3">
      <t>チイキ</t>
    </rPh>
    <phoneticPr fontId="1"/>
  </si>
  <si>
    <t>7地域</t>
    <rPh sb="1" eb="3">
      <t>チイキ</t>
    </rPh>
    <phoneticPr fontId="1"/>
  </si>
  <si>
    <t>冷房設備</t>
    <rPh sb="0" eb="4">
      <t>レイボウセツビ</t>
    </rPh>
    <phoneticPr fontId="1"/>
  </si>
  <si>
    <t>暖房設備</t>
    <rPh sb="0" eb="4">
      <t>ダンボウセツビ</t>
    </rPh>
    <phoneticPr fontId="1"/>
  </si>
  <si>
    <t>良否</t>
    <rPh sb="0" eb="2">
      <t>リョウヒ</t>
    </rPh>
    <phoneticPr fontId="1"/>
  </si>
  <si>
    <t>警告文</t>
    <rPh sb="0" eb="3">
      <t>ケイコクブン</t>
    </rPh>
    <phoneticPr fontId="1"/>
  </si>
  <si>
    <t>警告： 冷房期の平均日射熱取得率を 4.2 以下としてください。</t>
    <phoneticPr fontId="1"/>
  </si>
  <si>
    <t>警告： 冷房期の平均日射熱取得率を 4.5 以下としてください。</t>
    <phoneticPr fontId="1"/>
  </si>
  <si>
    <t>警告： 冷房期の平均日射熱取得率を 4.3 以下としてください。</t>
    <phoneticPr fontId="1"/>
  </si>
  <si>
    <t>警告： 暖房期の平均日射熱取得率を 1.7 以上としてください。</t>
    <rPh sb="0" eb="2">
      <t>ケイコク</t>
    </rPh>
    <phoneticPr fontId="1"/>
  </si>
  <si>
    <t>警告： 暖房期の平均日射熱取得率を 2.0 以上としてください。</t>
    <phoneticPr fontId="1"/>
  </si>
  <si>
    <t>警告： 暖房期の平均日射熱取得率を 1.8 以上としてください。</t>
    <phoneticPr fontId="1"/>
  </si>
  <si>
    <t>警告： 暖房期の平均日射熱取得率を 2.1 以上としてください。</t>
    <phoneticPr fontId="1"/>
  </si>
  <si>
    <t>次ページ以降で設定</t>
    <rPh sb="0" eb="1">
      <t>ジ</t>
    </rPh>
    <rPh sb="4" eb="6">
      <t>イコウ</t>
    </rPh>
    <rPh sb="7" eb="9">
      <t>セッテイ</t>
    </rPh>
    <phoneticPr fontId="1"/>
  </si>
  <si>
    <t>床断熱</t>
  </si>
  <si>
    <t>註：UA値が0.6未満の場合、冷房設備のポイントは該当する値がありません。このシートによる方法は利用不可となります。標準計算ルート又は簡易計算ルート等、他の計算方法を検討してください。</t>
    <phoneticPr fontId="1"/>
  </si>
  <si>
    <t>UA値の範囲の有無</t>
    <rPh sb="2" eb="3">
      <t>アタイ</t>
    </rPh>
    <rPh sb="4" eb="6">
      <t>ハンイ</t>
    </rPh>
    <rPh sb="7" eb="9">
      <t>ウム</t>
    </rPh>
    <phoneticPr fontId="1"/>
  </si>
  <si>
    <t>註：該当する値がありません。このシートによる方法は利用不可となります。標準計算ルート又は簡易計算ルート等、他の計算方法を検討してください。</t>
    <phoneticPr fontId="1"/>
  </si>
  <si>
    <t>ポイント掲載ページより(1) ～(5)で したポイントを以下の太枠内に表示され計算します。</t>
    <rPh sb="35" eb="37">
      <t>ヒョウジ</t>
    </rPh>
    <rPh sb="39" eb="41">
      <t>ケイサン</t>
    </rPh>
    <phoneticPr fontId="1"/>
  </si>
  <si>
    <t>警告：UA値が0.6未満の場合、冷房設備に該当する値がありません。</t>
    <rPh sb="0" eb="2">
      <t>ケイコク</t>
    </rPh>
    <phoneticPr fontId="1"/>
  </si>
  <si>
    <t>&gt;</t>
    <phoneticPr fontId="1"/>
  </si>
  <si>
    <t>該当範囲外の条件</t>
    <rPh sb="0" eb="2">
      <t>ガイトウ</t>
    </rPh>
    <rPh sb="2" eb="4">
      <t>ハンイ</t>
    </rPh>
    <rPh sb="4" eb="5">
      <t>ガイ</t>
    </rPh>
    <rPh sb="6" eb="8">
      <t>ジョウケン</t>
    </rPh>
    <phoneticPr fontId="1"/>
  </si>
  <si>
    <t>設置なし</t>
  </si>
  <si>
    <t>Ver1.2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</si>
</sst>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00_);[Red]\(0.000\)"/>
    <numFmt numFmtId="178" formatCode="0.0_ "/>
    <numFmt numFmtId="179" formatCode="0.00_ "/>
    <numFmt numFmtId="180" formatCode="0.00_);[Red]\(0.00\)"/>
    <numFmt numFmtId="181" formatCode="0.0000000_ "/>
  </numFmts>
  <fonts count="2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b/>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top/>
      <bottom/>
      <diagonal style="thin">
        <color auto="1"/>
      </diagonal>
    </border>
    <border diagonalUp="1">
      <left/>
      <right style="thin">
        <color indexed="64"/>
      </right>
      <top/>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478">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1" xfId="0" applyBorder="1">
      <alignment vertical="center"/>
    </xf>
    <xf numFmtId="0" fontId="0" fillId="0" borderId="10" xfId="0" applyBorder="1">
      <alignment vertical="center"/>
    </xf>
    <xf numFmtId="0" fontId="0" fillId="0" borderId="12" xfId="0" applyBorder="1">
      <alignment vertical="center"/>
    </xf>
    <xf numFmtId="176" fontId="0" fillId="0" borderId="16" xfId="0" applyNumberFormat="1" applyBorder="1">
      <alignment vertical="center"/>
    </xf>
    <xf numFmtId="0" fontId="0" fillId="0" borderId="11" xfId="0" applyBorder="1">
      <alignment vertical="center"/>
    </xf>
    <xf numFmtId="0" fontId="0" fillId="0" borderId="5"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176" fontId="0" fillId="0" borderId="17" xfId="0" applyNumberFormat="1" applyBorder="1">
      <alignment vertical="center"/>
    </xf>
    <xf numFmtId="0" fontId="0" fillId="0" borderId="5" xfId="0" applyBorder="1">
      <alignment vertical="center"/>
    </xf>
    <xf numFmtId="0" fontId="0" fillId="0" borderId="7" xfId="0" applyBorder="1">
      <alignment vertical="center"/>
    </xf>
    <xf numFmtId="49" fontId="0" fillId="0" borderId="0" xfId="0" applyNumberFormat="1">
      <alignment vertical="center"/>
    </xf>
    <xf numFmtId="0" fontId="4" fillId="0" borderId="0" xfId="0" applyFont="1" applyAlignment="1">
      <alignment vertical="center" wrapText="1" shrinkToFit="1"/>
    </xf>
    <xf numFmtId="177" fontId="0" fillId="0" borderId="18" xfId="0" applyNumberFormat="1" applyBorder="1">
      <alignment vertical="center"/>
    </xf>
    <xf numFmtId="177" fontId="0" fillId="0" borderId="19" xfId="0" applyNumberFormat="1" applyBorder="1">
      <alignment vertical="center"/>
    </xf>
    <xf numFmtId="177" fontId="0" fillId="0" borderId="20" xfId="0" applyNumberFormat="1" applyBorder="1">
      <alignment vertical="center"/>
    </xf>
    <xf numFmtId="177" fontId="0" fillId="0" borderId="21" xfId="0" applyNumberFormat="1" applyBorder="1">
      <alignment vertical="center"/>
    </xf>
    <xf numFmtId="177" fontId="0" fillId="0" borderId="1" xfId="0" applyNumberFormat="1" applyBorder="1">
      <alignment vertical="center"/>
    </xf>
    <xf numFmtId="177" fontId="0" fillId="0" borderId="22" xfId="0" applyNumberFormat="1" applyBorder="1">
      <alignment vertical="center"/>
    </xf>
    <xf numFmtId="177" fontId="0" fillId="0" borderId="23" xfId="0" applyNumberFormat="1" applyBorder="1">
      <alignment vertical="center"/>
    </xf>
    <xf numFmtId="177" fontId="0" fillId="0" borderId="24" xfId="0" applyNumberFormat="1" applyBorder="1">
      <alignment vertical="center"/>
    </xf>
    <xf numFmtId="177" fontId="0" fillId="0" borderId="25" xfId="0" applyNumberFormat="1" applyBorder="1">
      <alignment vertical="center"/>
    </xf>
    <xf numFmtId="177" fontId="0" fillId="0" borderId="26" xfId="0" applyNumberFormat="1" applyBorder="1">
      <alignment vertical="center"/>
    </xf>
    <xf numFmtId="177" fontId="0" fillId="0" borderId="27" xfId="0" applyNumberFormat="1" applyBorder="1">
      <alignment vertical="center"/>
    </xf>
    <xf numFmtId="177" fontId="0" fillId="0" borderId="28" xfId="0" applyNumberFormat="1" applyBorder="1">
      <alignment vertical="center"/>
    </xf>
    <xf numFmtId="0" fontId="0" fillId="0" borderId="32" xfId="0" applyBorder="1">
      <alignment vertical="center"/>
    </xf>
    <xf numFmtId="177" fontId="0" fillId="0" borderId="33" xfId="0" applyNumberFormat="1" applyBorder="1">
      <alignment vertical="center"/>
    </xf>
    <xf numFmtId="177" fontId="0" fillId="0" borderId="31" xfId="0" applyNumberFormat="1" applyBorder="1">
      <alignment vertical="center"/>
    </xf>
    <xf numFmtId="177" fontId="0" fillId="0" borderId="34" xfId="0" applyNumberFormat="1" applyBorder="1">
      <alignment vertical="center"/>
    </xf>
    <xf numFmtId="177" fontId="0" fillId="0" borderId="35" xfId="0" applyNumberFormat="1" applyBorder="1">
      <alignment vertical="center"/>
    </xf>
    <xf numFmtId="177" fontId="0" fillId="0" borderId="40" xfId="0" applyNumberFormat="1" applyBorder="1">
      <alignment vertical="center"/>
    </xf>
    <xf numFmtId="177" fontId="0" fillId="0" borderId="38" xfId="0" applyNumberFormat="1" applyBorder="1">
      <alignment vertical="center"/>
    </xf>
    <xf numFmtId="177" fontId="0" fillId="0" borderId="41" xfId="0" applyNumberFormat="1" applyBorder="1">
      <alignment vertical="center"/>
    </xf>
    <xf numFmtId="177" fontId="0" fillId="0" borderId="43" xfId="0" applyNumberFormat="1" applyBorder="1">
      <alignment vertical="center"/>
    </xf>
    <xf numFmtId="0" fontId="0" fillId="0" borderId="4" xfId="0" applyBorder="1">
      <alignment vertical="center"/>
    </xf>
    <xf numFmtId="0" fontId="0" fillId="0" borderId="2"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4" fillId="0" borderId="0" xfId="0" applyFont="1">
      <alignment vertical="center"/>
    </xf>
    <xf numFmtId="0" fontId="0" fillId="0" borderId="1" xfId="0" applyBorder="1" applyAlignment="1">
      <alignment horizontal="center" vertical="center"/>
    </xf>
    <xf numFmtId="0" fontId="0" fillId="0" borderId="52" xfId="0" applyBorder="1">
      <alignment vertical="center"/>
    </xf>
    <xf numFmtId="0" fontId="0" fillId="0" borderId="57" xfId="0" applyBorder="1">
      <alignment vertical="center"/>
    </xf>
    <xf numFmtId="0" fontId="0" fillId="0" borderId="60" xfId="0" applyBorder="1">
      <alignment vertical="center"/>
    </xf>
    <xf numFmtId="0" fontId="0" fillId="0" borderId="45" xfId="0" applyBorder="1">
      <alignment vertical="center"/>
    </xf>
    <xf numFmtId="0" fontId="0" fillId="0" borderId="46" xfId="0" applyBorder="1">
      <alignment vertical="center"/>
    </xf>
    <xf numFmtId="0" fontId="0" fillId="0" borderId="44" xfId="0" applyBorder="1" applyAlignment="1">
      <alignment horizontal="center" vertical="center" shrinkToFit="1"/>
    </xf>
    <xf numFmtId="178" fontId="0" fillId="0" borderId="12" xfId="0" applyNumberFormat="1" applyBorder="1">
      <alignment vertical="center"/>
    </xf>
    <xf numFmtId="178" fontId="0" fillId="0" borderId="10" xfId="0" applyNumberFormat="1" applyBorder="1">
      <alignment vertical="center"/>
    </xf>
    <xf numFmtId="178" fontId="0" fillId="0" borderId="9" xfId="0" applyNumberFormat="1" applyBorder="1">
      <alignment vertical="center"/>
    </xf>
    <xf numFmtId="0" fontId="0" fillId="0" borderId="65" xfId="0" applyBorder="1">
      <alignment vertical="center"/>
    </xf>
    <xf numFmtId="0" fontId="0" fillId="0" borderId="66" xfId="0" applyBorder="1">
      <alignment vertical="center"/>
    </xf>
    <xf numFmtId="178" fontId="0" fillId="0" borderId="68" xfId="0" applyNumberFormat="1" applyBorder="1">
      <alignment vertical="center"/>
    </xf>
    <xf numFmtId="178" fontId="0" fillId="0" borderId="69" xfId="0" applyNumberFormat="1" applyBorder="1">
      <alignment vertical="center"/>
    </xf>
    <xf numFmtId="0" fontId="0" fillId="0" borderId="19" xfId="0" applyBorder="1">
      <alignment vertical="center"/>
    </xf>
    <xf numFmtId="0" fontId="0" fillId="0" borderId="48" xfId="0" applyBorder="1">
      <alignment vertical="center"/>
    </xf>
    <xf numFmtId="0" fontId="0" fillId="0" borderId="20" xfId="0" applyBorder="1">
      <alignment vertical="center"/>
    </xf>
    <xf numFmtId="0" fontId="0" fillId="0" borderId="22" xfId="0" applyBorder="1">
      <alignment vertical="center"/>
    </xf>
    <xf numFmtId="178" fontId="0" fillId="0" borderId="71" xfId="0" applyNumberFormat="1" applyBorder="1">
      <alignment vertical="center"/>
    </xf>
    <xf numFmtId="178" fontId="0" fillId="0" borderId="72" xfId="0" applyNumberFormat="1" applyBorder="1">
      <alignment vertical="center"/>
    </xf>
    <xf numFmtId="0" fontId="0" fillId="0" borderId="27" xfId="0" applyBorder="1">
      <alignment vertical="center"/>
    </xf>
    <xf numFmtId="0" fontId="0" fillId="0" borderId="28" xfId="0" applyBorder="1">
      <alignment vertical="center"/>
    </xf>
    <xf numFmtId="0" fontId="0" fillId="0" borderId="72" xfId="0" applyBorder="1">
      <alignment vertical="center"/>
    </xf>
    <xf numFmtId="0" fontId="0" fillId="0" borderId="73" xfId="0" applyBorder="1">
      <alignment vertical="center"/>
    </xf>
    <xf numFmtId="178" fontId="0" fillId="0" borderId="74" xfId="0" applyNumberFormat="1" applyBorder="1">
      <alignment vertical="center"/>
    </xf>
    <xf numFmtId="0" fontId="0" fillId="0" borderId="68" xfId="0" applyBorder="1">
      <alignment vertical="center"/>
    </xf>
    <xf numFmtId="178" fontId="0" fillId="0" borderId="2" xfId="0" applyNumberFormat="1" applyBorder="1">
      <alignment vertical="center"/>
    </xf>
    <xf numFmtId="178" fontId="0" fillId="0" borderId="4" xfId="0" applyNumberFormat="1" applyBorder="1">
      <alignment vertical="center"/>
    </xf>
    <xf numFmtId="0" fontId="0" fillId="0" borderId="75" xfId="0" applyBorder="1">
      <alignment vertical="center"/>
    </xf>
    <xf numFmtId="0" fontId="0" fillId="0" borderId="29" xfId="0" applyBorder="1">
      <alignment vertical="center"/>
    </xf>
    <xf numFmtId="0" fontId="0" fillId="0" borderId="71" xfId="0" applyBorder="1">
      <alignment vertical="center"/>
    </xf>
    <xf numFmtId="0" fontId="0" fillId="0" borderId="69" xfId="0" applyBorder="1">
      <alignment vertical="center"/>
    </xf>
    <xf numFmtId="0" fontId="0" fillId="0" borderId="54" xfId="0" applyBorder="1">
      <alignment vertical="center"/>
    </xf>
    <xf numFmtId="0" fontId="0" fillId="0" borderId="76" xfId="0" applyBorder="1">
      <alignment vertical="center"/>
    </xf>
    <xf numFmtId="0" fontId="0" fillId="0" borderId="74" xfId="0" applyBorder="1">
      <alignment vertical="center"/>
    </xf>
    <xf numFmtId="0" fontId="0" fillId="0" borderId="0" xfId="0" applyAlignment="1">
      <alignment vertical="top" wrapText="1"/>
    </xf>
    <xf numFmtId="0" fontId="0" fillId="0" borderId="52" xfId="0" applyBorder="1" applyAlignment="1">
      <alignment vertical="top" wrapText="1"/>
    </xf>
    <xf numFmtId="0" fontId="0" fillId="0" borderId="61" xfId="0" applyBorder="1">
      <alignment vertical="center"/>
    </xf>
    <xf numFmtId="0" fontId="0" fillId="0" borderId="58" xfId="0" applyBorder="1">
      <alignment vertical="center"/>
    </xf>
    <xf numFmtId="0" fontId="0" fillId="0" borderId="63" xfId="0" applyBorder="1">
      <alignment vertical="center"/>
    </xf>
    <xf numFmtId="0" fontId="0" fillId="0" borderId="1" xfId="0" applyBorder="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2" borderId="0" xfId="0" applyFill="1">
      <alignment vertical="center"/>
    </xf>
    <xf numFmtId="0" fontId="4" fillId="2"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lignment vertical="center"/>
    </xf>
    <xf numFmtId="0" fontId="5" fillId="2" borderId="0" xfId="0" applyFont="1" applyFill="1" applyAlignment="1">
      <alignment vertical="center" shrinkToFit="1"/>
    </xf>
    <xf numFmtId="0" fontId="5" fillId="2" borderId="0" xfId="0" applyFont="1" applyFill="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52" xfId="0" applyFill="1" applyBorder="1">
      <alignment vertical="center"/>
    </xf>
    <xf numFmtId="0" fontId="0" fillId="2" borderId="0" xfId="0" applyFill="1" applyAlignment="1">
      <alignment horizontal="center" vertical="center"/>
    </xf>
    <xf numFmtId="49" fontId="0" fillId="2" borderId="0" xfId="0" applyNumberFormat="1" applyFill="1" applyAlignment="1">
      <alignment vertical="center" shrinkToFit="1"/>
    </xf>
    <xf numFmtId="49" fontId="0" fillId="2" borderId="0" xfId="0" applyNumberFormat="1" applyFill="1">
      <alignment vertical="center"/>
    </xf>
    <xf numFmtId="0" fontId="0" fillId="2" borderId="0" xfId="0" applyFill="1" applyAlignment="1">
      <alignment horizontal="right" vertical="center"/>
    </xf>
    <xf numFmtId="0" fontId="5" fillId="0" borderId="0" xfId="0" applyFont="1" applyAlignment="1" applyProtection="1">
      <alignment vertical="center" shrinkToFit="1"/>
      <protection locked="0"/>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center" vertical="center"/>
    </xf>
    <xf numFmtId="0" fontId="0" fillId="0" borderId="18" xfId="0" applyBorder="1" applyAlignment="1">
      <alignment vertical="center" shrinkToFit="1"/>
    </xf>
    <xf numFmtId="0" fontId="0" fillId="0" borderId="20" xfId="0" applyBorder="1" applyAlignment="1">
      <alignment vertical="center" shrinkToFit="1"/>
    </xf>
    <xf numFmtId="0" fontId="0" fillId="0" borderId="54" xfId="0" applyBorder="1" applyAlignment="1">
      <alignment vertical="center" shrinkToFit="1"/>
    </xf>
    <xf numFmtId="0" fontId="0" fillId="0" borderId="77" xfId="0" applyBorder="1" applyAlignment="1">
      <alignment vertical="center" shrinkToFit="1"/>
    </xf>
    <xf numFmtId="0" fontId="0" fillId="0" borderId="75" xfId="0" applyBorder="1" applyAlignment="1">
      <alignment vertical="center" shrinkToFit="1"/>
    </xf>
    <xf numFmtId="0" fontId="0" fillId="0" borderId="19" xfId="0" applyBorder="1" applyAlignment="1">
      <alignment vertical="center" shrinkToFit="1"/>
    </xf>
    <xf numFmtId="0" fontId="0" fillId="0" borderId="51" xfId="0" applyBorder="1">
      <alignment vertical="center"/>
    </xf>
    <xf numFmtId="0" fontId="0" fillId="0" borderId="26" xfId="0" applyBorder="1">
      <alignment vertical="center"/>
    </xf>
    <xf numFmtId="0" fontId="4" fillId="0" borderId="19" xfId="0" applyFont="1" applyBorder="1">
      <alignment vertical="center"/>
    </xf>
    <xf numFmtId="0" fontId="11" fillId="2" borderId="0" xfId="0" applyFont="1" applyFill="1">
      <alignment vertical="center"/>
    </xf>
    <xf numFmtId="0" fontId="9" fillId="2" borderId="0" xfId="0" applyFont="1" applyFill="1" applyAlignment="1">
      <alignment horizontal="right" vertical="center"/>
    </xf>
    <xf numFmtId="0" fontId="9" fillId="2" borderId="52" xfId="0" applyFont="1" applyFill="1" applyBorder="1" applyAlignment="1">
      <alignment horizontal="right" vertical="center"/>
    </xf>
    <xf numFmtId="0" fontId="13" fillId="2" borderId="0" xfId="0" applyFont="1" applyFill="1" applyAlignment="1">
      <alignment horizontal="right" vertical="center"/>
    </xf>
    <xf numFmtId="0" fontId="6" fillId="0" borderId="1" xfId="0" applyFont="1" applyBorder="1">
      <alignment vertical="center"/>
    </xf>
    <xf numFmtId="176" fontId="0" fillId="0" borderId="1" xfId="0" applyNumberFormat="1" applyBorder="1">
      <alignment vertical="center"/>
    </xf>
    <xf numFmtId="179" fontId="0" fillId="2" borderId="0" xfId="0" applyNumberFormat="1" applyFill="1">
      <alignment vertical="center"/>
    </xf>
    <xf numFmtId="0" fontId="3" fillId="2" borderId="52" xfId="0" applyFont="1" applyFill="1" applyBorder="1">
      <alignment vertical="center"/>
    </xf>
    <xf numFmtId="181" fontId="0" fillId="2" borderId="0" xfId="0" applyNumberFormat="1" applyFill="1">
      <alignment vertical="center"/>
    </xf>
    <xf numFmtId="0" fontId="0" fillId="2" borderId="0" xfId="0" applyFill="1" applyAlignment="1" applyProtection="1">
      <alignment horizontal="center" vertical="center"/>
      <protection locked="0"/>
    </xf>
    <xf numFmtId="0" fontId="0" fillId="2" borderId="0" xfId="0" applyFill="1" applyProtection="1">
      <alignment vertical="center"/>
      <protection locked="0"/>
    </xf>
    <xf numFmtId="0" fontId="0" fillId="2" borderId="0" xfId="0" applyFill="1" applyAlignment="1" applyProtection="1">
      <alignment horizontal="center" vertical="center" shrinkToFit="1"/>
      <protection locked="0"/>
    </xf>
    <xf numFmtId="49" fontId="0" fillId="2" borderId="1" xfId="0" applyNumberFormat="1" applyFill="1" applyBorder="1" applyAlignment="1" applyProtection="1">
      <alignment vertical="center" shrinkToFit="1"/>
      <protection locked="0"/>
    </xf>
    <xf numFmtId="176" fontId="0" fillId="2" borderId="13" xfId="0" applyNumberFormat="1" applyFill="1" applyBorder="1" applyProtection="1">
      <alignment vertical="center"/>
      <protection locked="0"/>
    </xf>
    <xf numFmtId="176" fontId="0" fillId="2" borderId="14" xfId="0" applyNumberFormat="1" applyFill="1" applyBorder="1" applyProtection="1">
      <alignment vertical="center"/>
      <protection locked="0"/>
    </xf>
    <xf numFmtId="0" fontId="0" fillId="2" borderId="14" xfId="0"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5" xfId="0" applyFill="1" applyBorder="1" applyProtection="1">
      <alignment vertical="center"/>
      <protection locked="0"/>
    </xf>
    <xf numFmtId="176" fontId="0" fillId="2" borderId="1" xfId="0" applyNumberFormat="1" applyFill="1" applyBorder="1" applyProtection="1">
      <alignment vertical="center"/>
      <protection locked="0"/>
    </xf>
    <xf numFmtId="0" fontId="0" fillId="2" borderId="1" xfId="0" applyFill="1" applyBorder="1" applyProtection="1">
      <alignment vertical="center"/>
      <protection locked="0"/>
    </xf>
    <xf numFmtId="0" fontId="0" fillId="2" borderId="10"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0" borderId="0" xfId="0" applyProtection="1">
      <alignment vertical="center"/>
      <protection locked="0"/>
    </xf>
    <xf numFmtId="176" fontId="0" fillId="0" borderId="0" xfId="0" applyNumberFormat="1" applyProtection="1">
      <alignment vertical="center"/>
      <protection locked="0"/>
    </xf>
    <xf numFmtId="176" fontId="0" fillId="2" borderId="0" xfId="0" applyNumberForma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0" fillId="2" borderId="10" xfId="0" applyFill="1" applyBorder="1" applyAlignment="1">
      <alignment vertical="top" wrapText="1"/>
    </xf>
    <xf numFmtId="0" fontId="0" fillId="2" borderId="12" xfId="0" applyFill="1" applyBorder="1" applyAlignment="1">
      <alignment vertical="top" wrapText="1"/>
    </xf>
    <xf numFmtId="0" fontId="0" fillId="0" borderId="84" xfId="0" applyBorder="1">
      <alignment vertical="center"/>
    </xf>
    <xf numFmtId="0" fontId="0" fillId="0" borderId="50" xfId="0" applyBorder="1">
      <alignment vertical="center"/>
    </xf>
    <xf numFmtId="0" fontId="0" fillId="0" borderId="49" xfId="0" applyBorder="1">
      <alignment vertical="center"/>
    </xf>
    <xf numFmtId="0" fontId="0" fillId="0" borderId="67" xfId="0" applyBorder="1">
      <alignment vertical="center"/>
    </xf>
    <xf numFmtId="0" fontId="0" fillId="0" borderId="70" xfId="0" applyBorder="1">
      <alignment vertical="center"/>
    </xf>
    <xf numFmtId="178" fontId="0" fillId="0" borderId="1" xfId="0" applyNumberFormat="1" applyBorder="1">
      <alignment vertical="center"/>
    </xf>
    <xf numFmtId="179" fontId="0" fillId="0" borderId="1" xfId="0" applyNumberFormat="1"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2" borderId="1" xfId="0" applyFill="1" applyBorder="1">
      <alignment vertical="center"/>
    </xf>
    <xf numFmtId="0" fontId="0" fillId="2" borderId="1" xfId="0" applyFill="1" applyBorder="1" applyAlignment="1">
      <alignment vertical="center" shrinkToFit="1"/>
    </xf>
    <xf numFmtId="0" fontId="15" fillId="2" borderId="11" xfId="0" applyFont="1" applyFill="1" applyBorder="1">
      <alignment vertical="center"/>
    </xf>
    <xf numFmtId="0" fontId="15" fillId="2" borderId="12" xfId="0" applyFont="1" applyFill="1" applyBorder="1">
      <alignment vertical="center"/>
    </xf>
    <xf numFmtId="0" fontId="15" fillId="2" borderId="3" xfId="0" applyFont="1" applyFill="1" applyBorder="1">
      <alignment vertical="center"/>
    </xf>
    <xf numFmtId="0" fontId="15" fillId="2" borderId="4" xfId="0" applyFont="1" applyFill="1" applyBorder="1">
      <alignment vertical="center"/>
    </xf>
    <xf numFmtId="0" fontId="15" fillId="2" borderId="7" xfId="0" applyFont="1" applyFill="1" applyBorder="1">
      <alignment vertical="center"/>
    </xf>
    <xf numFmtId="0" fontId="15" fillId="2" borderId="8" xfId="0" applyFont="1" applyFill="1" applyBorder="1">
      <alignment vertical="center"/>
    </xf>
    <xf numFmtId="0" fontId="15" fillId="2" borderId="9" xfId="0" applyFont="1" applyFill="1" applyBorder="1">
      <alignment vertical="center"/>
    </xf>
    <xf numFmtId="0" fontId="15" fillId="2" borderId="0" xfId="0" applyFont="1" applyFill="1">
      <alignment vertical="center"/>
    </xf>
    <xf numFmtId="0" fontId="15" fillId="2" borderId="5" xfId="0" applyFont="1" applyFill="1" applyBorder="1">
      <alignment vertical="center"/>
    </xf>
    <xf numFmtId="0" fontId="15" fillId="2" borderId="101" xfId="0" applyFont="1" applyFill="1" applyBorder="1">
      <alignment vertical="center"/>
    </xf>
    <xf numFmtId="0" fontId="15" fillId="2" borderId="102" xfId="0" applyFont="1" applyFill="1" applyBorder="1">
      <alignment vertical="center"/>
    </xf>
    <xf numFmtId="0" fontId="15" fillId="2" borderId="104" xfId="0" applyFont="1" applyFill="1" applyBorder="1">
      <alignment vertical="center"/>
    </xf>
    <xf numFmtId="0" fontId="15" fillId="2" borderId="105" xfId="0" applyFont="1" applyFill="1" applyBorder="1">
      <alignment vertical="center"/>
    </xf>
    <xf numFmtId="0" fontId="15" fillId="2" borderId="107" xfId="0" applyFont="1" applyFill="1" applyBorder="1">
      <alignment vertical="center"/>
    </xf>
    <xf numFmtId="0" fontId="15" fillId="2" borderId="108" xfId="0" applyFont="1" applyFill="1" applyBorder="1">
      <alignment vertical="center"/>
    </xf>
    <xf numFmtId="0" fontId="12" fillId="2" borderId="2" xfId="0" applyFont="1" applyFill="1" applyBorder="1" applyAlignment="1">
      <alignment horizontal="center" vertical="center"/>
    </xf>
    <xf numFmtId="0" fontId="12" fillId="2" borderId="7" xfId="0" applyFont="1" applyFill="1" applyBorder="1">
      <alignment vertical="center"/>
    </xf>
    <xf numFmtId="0" fontId="12" fillId="2" borderId="100"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0" xfId="0" applyFont="1" applyFill="1">
      <alignment vertical="center"/>
    </xf>
    <xf numFmtId="0" fontId="12" fillId="2" borderId="0" xfId="0" applyFont="1" applyFill="1" applyAlignment="1">
      <alignment horizontal="center"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97" xfId="0" applyFill="1" applyBorder="1">
      <alignment vertical="center"/>
    </xf>
    <xf numFmtId="0" fontId="0" fillId="2" borderId="44" xfId="0" applyFill="1" applyBorder="1">
      <alignment vertical="center"/>
    </xf>
    <xf numFmtId="0" fontId="14" fillId="0" borderId="44" xfId="0" applyFont="1" applyBorder="1">
      <alignment vertical="center"/>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xf numFmtId="0" fontId="0" fillId="0" borderId="52" xfId="0" applyBorder="1" applyAlignment="1">
      <alignment vertical="top"/>
    </xf>
    <xf numFmtId="0" fontId="0" fillId="2" borderId="2" xfId="0" applyFill="1" applyBorder="1" applyAlignment="1">
      <alignment vertical="center" shrinkToFit="1"/>
    </xf>
    <xf numFmtId="0" fontId="0" fillId="2" borderId="7" xfId="0" applyFill="1" applyBorder="1" applyAlignment="1">
      <alignment vertical="center" shrinkToFit="1"/>
    </xf>
    <xf numFmtId="0" fontId="6" fillId="0" borderId="0" xfId="0" applyFont="1">
      <alignment vertical="center"/>
    </xf>
    <xf numFmtId="0" fontId="14" fillId="0" borderId="0" xfId="0" applyFont="1">
      <alignment vertical="center"/>
    </xf>
    <xf numFmtId="0" fontId="14" fillId="0" borderId="0" xfId="0" applyFont="1" applyAlignment="1">
      <alignment vertical="top" wrapText="1"/>
    </xf>
    <xf numFmtId="0" fontId="17" fillId="0" borderId="1" xfId="0" applyFont="1" applyBorder="1">
      <alignment vertical="center"/>
    </xf>
    <xf numFmtId="0" fontId="17" fillId="0" borderId="0" xfId="0" applyFont="1">
      <alignment vertical="center"/>
    </xf>
    <xf numFmtId="0" fontId="14" fillId="0" borderId="1" xfId="0" applyFont="1" applyBorder="1">
      <alignment vertical="center"/>
    </xf>
    <xf numFmtId="0" fontId="0" fillId="2" borderId="1" xfId="0" applyFill="1" applyBorder="1" applyAlignment="1">
      <alignment horizontal="center" vertical="center" shrinkToFit="1"/>
    </xf>
    <xf numFmtId="0" fontId="17" fillId="2" borderId="118" xfId="0" applyFont="1" applyFill="1" applyBorder="1">
      <alignment vertical="center"/>
    </xf>
    <xf numFmtId="0" fontId="17" fillId="2" borderId="113" xfId="0" applyFont="1" applyFill="1" applyBorder="1">
      <alignment vertical="center"/>
    </xf>
    <xf numFmtId="0" fontId="17" fillId="2" borderId="114" xfId="0" applyFont="1" applyFill="1" applyBorder="1">
      <alignment vertical="center"/>
    </xf>
    <xf numFmtId="0" fontId="0" fillId="2" borderId="10" xfId="0" applyFill="1" applyBorder="1" applyAlignment="1">
      <alignment vertical="center" shrinkToFit="1"/>
    </xf>
    <xf numFmtId="0" fontId="0" fillId="2" borderId="12" xfId="0" applyFill="1" applyBorder="1" applyAlignment="1">
      <alignment horizontal="center" vertical="center" shrinkToFit="1"/>
    </xf>
    <xf numFmtId="0" fontId="17" fillId="2" borderId="1" xfId="0" applyFont="1" applyFill="1" applyBorder="1">
      <alignment vertical="center"/>
    </xf>
    <xf numFmtId="0" fontId="17" fillId="0" borderId="14" xfId="0" applyFont="1" applyBorder="1">
      <alignment vertical="center"/>
    </xf>
    <xf numFmtId="0" fontId="0" fillId="2" borderId="56" xfId="0" applyFill="1" applyBorder="1">
      <alignment vertical="center"/>
    </xf>
    <xf numFmtId="0" fontId="0" fillId="2" borderId="57" xfId="0" applyFill="1" applyBorder="1">
      <alignment vertical="center"/>
    </xf>
    <xf numFmtId="0" fontId="0" fillId="2" borderId="62" xfId="0" applyFill="1" applyBorder="1">
      <alignment vertical="center"/>
    </xf>
    <xf numFmtId="0" fontId="0" fillId="2" borderId="60" xfId="0" applyFill="1" applyBorder="1">
      <alignment vertical="center"/>
    </xf>
    <xf numFmtId="0" fontId="0" fillId="2" borderId="62" xfId="0" applyFill="1" applyBorder="1" applyAlignment="1">
      <alignment horizontal="center" vertical="center"/>
    </xf>
    <xf numFmtId="0" fontId="0" fillId="2" borderId="59" xfId="0" applyFill="1" applyBorder="1" applyAlignment="1">
      <alignment horizontal="center" vertical="center"/>
    </xf>
    <xf numFmtId="0" fontId="17" fillId="2" borderId="57" xfId="0" applyFont="1" applyFill="1" applyBorder="1">
      <alignment vertical="center"/>
    </xf>
    <xf numFmtId="0" fontId="0" fillId="2" borderId="0" xfId="0" applyFill="1" applyAlignment="1">
      <alignment vertical="top"/>
    </xf>
    <xf numFmtId="0" fontId="0" fillId="2" borderId="20" xfId="0" applyFill="1" applyBorder="1">
      <alignment vertical="center"/>
    </xf>
    <xf numFmtId="0" fontId="0" fillId="2" borderId="22" xfId="0" applyFill="1" applyBorder="1">
      <alignment vertical="center"/>
    </xf>
    <xf numFmtId="0" fontId="0" fillId="2" borderId="28" xfId="0" applyFill="1" applyBorder="1">
      <alignment vertical="center"/>
    </xf>
    <xf numFmtId="0" fontId="14" fillId="2" borderId="22" xfId="0" applyFont="1" applyFill="1" applyBorder="1">
      <alignment vertical="center"/>
    </xf>
    <xf numFmtId="178" fontId="0" fillId="2" borderId="62" xfId="0" applyNumberFormat="1" applyFill="1" applyBorder="1">
      <alignment vertical="center"/>
    </xf>
    <xf numFmtId="178" fontId="0" fillId="2" borderId="59" xfId="0" applyNumberFormat="1" applyFill="1" applyBorder="1">
      <alignment vertical="center"/>
    </xf>
    <xf numFmtId="0" fontId="0" fillId="2" borderId="1" xfId="0" applyFill="1" applyBorder="1" applyAlignment="1" applyProtection="1">
      <alignment vertical="center" shrinkToFit="1"/>
      <protection locked="0"/>
    </xf>
    <xf numFmtId="0" fontId="14" fillId="2" borderId="115" xfId="0" applyFont="1" applyFill="1" applyBorder="1" applyProtection="1">
      <alignment vertical="center"/>
      <protection locked="0"/>
    </xf>
    <xf numFmtId="0" fontId="14" fillId="2" borderId="113" xfId="0" applyFont="1" applyFill="1" applyBorder="1" applyProtection="1">
      <alignment vertical="center"/>
      <protection locked="0"/>
    </xf>
    <xf numFmtId="0" fontId="14" fillId="2" borderId="114" xfId="0" applyFont="1" applyFill="1" applyBorder="1" applyProtection="1">
      <alignment vertical="center"/>
      <protection locked="0"/>
    </xf>
    <xf numFmtId="0" fontId="14" fillId="2" borderId="1" xfId="0" applyFont="1" applyFill="1" applyBorder="1" applyProtection="1">
      <alignment vertical="center"/>
      <protection locked="0"/>
    </xf>
    <xf numFmtId="0" fontId="0" fillId="2" borderId="44" xfId="0" applyFill="1" applyBorder="1" applyProtection="1">
      <alignment vertical="center"/>
      <protection locked="0"/>
    </xf>
    <xf numFmtId="0" fontId="14" fillId="2" borderId="13" xfId="0" applyFont="1" applyFill="1" applyBorder="1" applyProtection="1">
      <alignment vertical="center"/>
      <protection locked="0"/>
    </xf>
    <xf numFmtId="0" fontId="0" fillId="2" borderId="13" xfId="0" applyFill="1" applyBorder="1" applyProtection="1">
      <alignment vertical="center"/>
      <protection locked="0"/>
    </xf>
    <xf numFmtId="0" fontId="0" fillId="2" borderId="98" xfId="0" applyFill="1" applyBorder="1" applyProtection="1">
      <alignment vertical="center"/>
      <protection locked="0"/>
    </xf>
    <xf numFmtId="0" fontId="16" fillId="2" borderId="13" xfId="0" applyFont="1" applyFill="1" applyBorder="1" applyProtection="1">
      <alignment vertical="center"/>
      <protection locked="0"/>
    </xf>
    <xf numFmtId="0" fontId="14" fillId="2" borderId="15" xfId="0" applyFont="1" applyFill="1" applyBorder="1" applyProtection="1">
      <alignment vertical="center"/>
      <protection locked="0"/>
    </xf>
    <xf numFmtId="0" fontId="16" fillId="2" borderId="15" xfId="0" applyFont="1" applyFill="1" applyBorder="1" applyProtection="1">
      <alignment vertical="center"/>
      <protection locked="0"/>
    </xf>
    <xf numFmtId="0" fontId="16" fillId="2" borderId="14" xfId="0" applyFont="1" applyFill="1" applyBorder="1" applyProtection="1">
      <alignment vertical="center"/>
      <protection locked="0"/>
    </xf>
    <xf numFmtId="0" fontId="0" fillId="2" borderId="2" xfId="0" applyFill="1" applyBorder="1" applyProtection="1">
      <alignment vertical="center"/>
      <protection locked="0"/>
    </xf>
    <xf numFmtId="0" fontId="0" fillId="2" borderId="99" xfId="0" applyFill="1" applyBorder="1" applyProtection="1">
      <alignment vertical="center"/>
      <protection locked="0"/>
    </xf>
    <xf numFmtId="0" fontId="0" fillId="2" borderId="45" xfId="0" applyFill="1" applyBorder="1" applyProtection="1">
      <alignment vertical="center"/>
      <protection locked="0"/>
    </xf>
    <xf numFmtId="0" fontId="0" fillId="2" borderId="46" xfId="0" applyFill="1" applyBorder="1" applyProtection="1">
      <alignment vertical="center"/>
      <protection locked="0"/>
    </xf>
    <xf numFmtId="0" fontId="0" fillId="2" borderId="47" xfId="0" applyFill="1" applyBorder="1" applyProtection="1">
      <alignment vertical="center"/>
      <protection locked="0"/>
    </xf>
    <xf numFmtId="0" fontId="14" fillId="2" borderId="44" xfId="0" applyFont="1" applyFill="1" applyBorder="1" applyProtection="1">
      <alignment vertical="center"/>
      <protection locked="0"/>
    </xf>
    <xf numFmtId="0" fontId="0" fillId="2" borderId="97" xfId="0" applyFill="1" applyBorder="1" applyProtection="1">
      <alignment vertical="center"/>
      <protection locked="0"/>
    </xf>
    <xf numFmtId="0" fontId="14" fillId="2" borderId="14" xfId="0" applyFont="1" applyFill="1" applyBorder="1" applyProtection="1">
      <alignment vertical="center"/>
      <protection locked="0"/>
    </xf>
    <xf numFmtId="0" fontId="0" fillId="2" borderId="113" xfId="0" applyFill="1" applyBorder="1" applyProtection="1">
      <alignment vertical="center"/>
      <protection locked="0"/>
    </xf>
    <xf numFmtId="0" fontId="14" fillId="2" borderId="112" xfId="0" applyFont="1" applyFill="1" applyBorder="1" applyProtection="1">
      <alignment vertical="center"/>
      <protection locked="0"/>
    </xf>
    <xf numFmtId="0" fontId="0" fillId="2" borderId="112" xfId="0" applyFill="1" applyBorder="1" applyProtection="1">
      <alignment vertical="center"/>
      <protection locked="0"/>
    </xf>
    <xf numFmtId="0" fontId="0" fillId="2" borderId="114" xfId="0" applyFill="1" applyBorder="1" applyProtection="1">
      <alignment vertical="center"/>
      <protection locked="0"/>
    </xf>
    <xf numFmtId="0" fontId="4" fillId="2" borderId="0" xfId="0" applyFont="1" applyFill="1" applyAlignment="1">
      <alignment horizontal="right" vertical="center"/>
    </xf>
    <xf numFmtId="0" fontId="5" fillId="2" borderId="0" xfId="0" applyFont="1" applyFill="1" applyAlignment="1">
      <alignment horizontal="right" vertical="center"/>
    </xf>
    <xf numFmtId="0" fontId="5" fillId="2" borderId="0" xfId="0" applyFont="1" applyFill="1" applyAlignment="1">
      <alignment horizontal="center" vertical="center" shrinkToFit="1"/>
    </xf>
    <xf numFmtId="0" fontId="4" fillId="2" borderId="0" xfId="0" applyFont="1" applyFill="1">
      <alignment vertical="center"/>
    </xf>
    <xf numFmtId="0" fontId="4" fillId="0" borderId="0" xfId="0" applyFont="1" applyAlignment="1" applyProtection="1">
      <alignment horizontal="right" vertical="center"/>
      <protection locked="0"/>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0" fillId="2" borderId="1" xfId="0" applyFill="1" applyBorder="1">
      <alignment vertical="center"/>
    </xf>
    <xf numFmtId="0" fontId="0" fillId="0" borderId="1" xfId="0" applyBorder="1" applyAlignment="1" applyProtection="1">
      <alignment vertical="center" shrinkToFit="1"/>
      <protection locked="0"/>
    </xf>
    <xf numFmtId="0" fontId="6" fillId="0" borderId="11" xfId="0" applyFont="1" applyBorder="1" applyProtection="1">
      <alignment vertical="center"/>
      <protection locked="0"/>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9" fillId="2" borderId="0" xfId="0" applyFont="1" applyFill="1" applyAlignment="1">
      <alignment horizontal="center" vertical="center" shrinkToFit="1"/>
    </xf>
    <xf numFmtId="179" fontId="6" fillId="2" borderId="78" xfId="0" applyNumberFormat="1" applyFont="1" applyFill="1" applyBorder="1">
      <alignment vertical="center"/>
    </xf>
    <xf numFmtId="179" fontId="6" fillId="2" borderId="79" xfId="0" applyNumberFormat="1" applyFont="1" applyFill="1" applyBorder="1">
      <alignment vertical="center"/>
    </xf>
    <xf numFmtId="179" fontId="6" fillId="2" borderId="80" xfId="0" applyNumberFormat="1" applyFont="1" applyFill="1" applyBorder="1">
      <alignment vertical="center"/>
    </xf>
    <xf numFmtId="176" fontId="6" fillId="0" borderId="56" xfId="0" applyNumberFormat="1" applyFont="1" applyBorder="1" applyProtection="1">
      <alignment vertical="center"/>
      <protection locked="0"/>
    </xf>
    <xf numFmtId="176" fontId="6" fillId="0" borderId="57" xfId="0" applyNumberFormat="1" applyFont="1" applyBorder="1" applyProtection="1">
      <alignment vertical="center"/>
      <protection locked="0"/>
    </xf>
    <xf numFmtId="176" fontId="6" fillId="0" borderId="58" xfId="0" applyNumberFormat="1" applyFont="1" applyBorder="1" applyProtection="1">
      <alignment vertical="center"/>
      <protection locked="0"/>
    </xf>
    <xf numFmtId="176" fontId="6" fillId="0" borderId="62" xfId="0" applyNumberFormat="1" applyFont="1" applyBorder="1" applyProtection="1">
      <alignment vertical="center"/>
      <protection locked="0"/>
    </xf>
    <xf numFmtId="176" fontId="6" fillId="0" borderId="11" xfId="0" applyNumberFormat="1" applyFont="1" applyBorder="1" applyProtection="1">
      <alignment vertical="center"/>
      <protection locked="0"/>
    </xf>
    <xf numFmtId="176" fontId="6" fillId="0" borderId="63" xfId="0" applyNumberFormat="1" applyFont="1" applyBorder="1" applyProtection="1">
      <alignment vertical="center"/>
      <protection locked="0"/>
    </xf>
    <xf numFmtId="176" fontId="6" fillId="0" borderId="59" xfId="0" applyNumberFormat="1" applyFont="1" applyBorder="1" applyProtection="1">
      <alignment vertical="center"/>
      <protection locked="0"/>
    </xf>
    <xf numFmtId="176" fontId="6" fillId="0" borderId="60" xfId="0" applyNumberFormat="1" applyFont="1" applyBorder="1" applyProtection="1">
      <alignment vertical="center"/>
      <protection locked="0"/>
    </xf>
    <xf numFmtId="176" fontId="6" fillId="0" borderId="61" xfId="0" applyNumberFormat="1" applyFont="1" applyBorder="1" applyProtection="1">
      <alignment vertical="center"/>
      <protection locked="0"/>
    </xf>
    <xf numFmtId="176" fontId="11" fillId="2" borderId="10" xfId="0" applyNumberFormat="1" applyFont="1" applyFill="1" applyBorder="1">
      <alignment vertical="center"/>
    </xf>
    <xf numFmtId="176" fontId="11" fillId="2" borderId="11" xfId="0" applyNumberFormat="1" applyFont="1" applyFill="1" applyBorder="1">
      <alignment vertical="center"/>
    </xf>
    <xf numFmtId="176" fontId="11" fillId="2" borderId="12" xfId="0" applyNumberFormat="1" applyFont="1" applyFill="1" applyBorder="1">
      <alignment vertical="center"/>
    </xf>
    <xf numFmtId="0" fontId="4" fillId="2" borderId="0" xfId="0" applyFont="1" applyFill="1" applyAlignment="1">
      <alignment horizontal="center"/>
    </xf>
    <xf numFmtId="0" fontId="6" fillId="2" borderId="11" xfId="0" applyFont="1" applyFill="1" applyBorder="1" applyAlignment="1">
      <alignment horizontal="center" vertical="center"/>
    </xf>
    <xf numFmtId="0" fontId="6" fillId="0" borderId="11" xfId="0" applyFont="1" applyBorder="1" applyAlignment="1" applyProtection="1">
      <alignment horizontal="center" vertical="center"/>
      <protection locked="0"/>
    </xf>
    <xf numFmtId="176" fontId="0" fillId="2" borderId="10" xfId="0" applyNumberFormat="1" applyFill="1" applyBorder="1">
      <alignment vertical="center"/>
    </xf>
    <xf numFmtId="176" fontId="0" fillId="2" borderId="11" xfId="0" applyNumberFormat="1" applyFill="1" applyBorder="1">
      <alignment vertical="center"/>
    </xf>
    <xf numFmtId="176" fontId="0" fillId="2" borderId="12" xfId="0" applyNumberFormat="1" applyFill="1" applyBorder="1">
      <alignment vertical="center"/>
    </xf>
    <xf numFmtId="0" fontId="11" fillId="2" borderId="1" xfId="0" applyFont="1" applyFill="1" applyBorder="1">
      <alignment vertical="center"/>
    </xf>
    <xf numFmtId="0" fontId="0" fillId="2" borderId="1" xfId="0" applyFill="1" applyBorder="1" applyAlignment="1">
      <alignment horizontal="center" vertical="center"/>
    </xf>
    <xf numFmtId="0" fontId="0" fillId="2" borderId="1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2" fillId="2" borderId="48" xfId="0" applyFont="1" applyFill="1" applyBorder="1" applyAlignment="1">
      <alignment vertical="top" wrapText="1"/>
    </xf>
    <xf numFmtId="0" fontId="12" fillId="2" borderId="48" xfId="0" applyFont="1" applyFill="1" applyBorder="1" applyAlignment="1">
      <alignment vertical="top"/>
    </xf>
    <xf numFmtId="0" fontId="12" fillId="2" borderId="0" xfId="0" applyFont="1" applyFill="1" applyAlignment="1">
      <alignment vertical="top"/>
    </xf>
    <xf numFmtId="0" fontId="4" fillId="2" borderId="8" xfId="0" applyFont="1" applyFill="1" applyBorder="1" applyAlignment="1">
      <alignment horizontal="center"/>
    </xf>
    <xf numFmtId="0" fontId="4" fillId="2" borderId="52" xfId="0" applyFont="1" applyFill="1" applyBorder="1" applyAlignment="1">
      <alignment horizontal="center"/>
    </xf>
    <xf numFmtId="176" fontId="6" fillId="2" borderId="10" xfId="0" applyNumberFormat="1" applyFont="1" applyFill="1" applyBorder="1">
      <alignment vertical="center"/>
    </xf>
    <xf numFmtId="176" fontId="6" fillId="2" borderId="11" xfId="0" applyNumberFormat="1" applyFont="1" applyFill="1" applyBorder="1">
      <alignment vertical="center"/>
    </xf>
    <xf numFmtId="176" fontId="6" fillId="2" borderId="12" xfId="0" applyNumberFormat="1" applyFont="1" applyFill="1" applyBorder="1">
      <alignment vertical="center"/>
    </xf>
    <xf numFmtId="0" fontId="11" fillId="2" borderId="1" xfId="0" applyFont="1" applyFill="1" applyBorder="1" applyAlignment="1">
      <alignment vertical="center" shrinkToFit="1"/>
    </xf>
    <xf numFmtId="178" fontId="6" fillId="2" borderId="78" xfId="0" applyNumberFormat="1" applyFont="1" applyFill="1" applyBorder="1">
      <alignment vertical="center"/>
    </xf>
    <xf numFmtId="178" fontId="6" fillId="2" borderId="79" xfId="0" applyNumberFormat="1" applyFont="1" applyFill="1" applyBorder="1">
      <alignment vertical="center"/>
    </xf>
    <xf numFmtId="178" fontId="6" fillId="2" borderId="80" xfId="0" applyNumberFormat="1" applyFont="1" applyFill="1" applyBorder="1">
      <alignment vertical="center"/>
    </xf>
    <xf numFmtId="0" fontId="9" fillId="2" borderId="0" xfId="0" applyFont="1" applyFill="1" applyAlignment="1">
      <alignment horizontal="center"/>
    </xf>
    <xf numFmtId="0" fontId="11" fillId="2" borderId="2" xfId="0" applyFont="1" applyFill="1" applyBorder="1">
      <alignment vertical="center"/>
    </xf>
    <xf numFmtId="0" fontId="11" fillId="2" borderId="3" xfId="0" applyFont="1" applyFill="1" applyBorder="1">
      <alignment vertical="center"/>
    </xf>
    <xf numFmtId="0" fontId="11" fillId="2" borderId="5" xfId="0" applyFont="1" applyFill="1" applyBorder="1">
      <alignment vertical="center"/>
    </xf>
    <xf numFmtId="0" fontId="11" fillId="2" borderId="0" xfId="0" applyFont="1" applyFill="1">
      <alignment vertical="center"/>
    </xf>
    <xf numFmtId="0" fontId="11" fillId="2" borderId="7" xfId="0" applyFont="1" applyFill="1" applyBorder="1">
      <alignment vertical="center"/>
    </xf>
    <xf numFmtId="0" fontId="11" fillId="2" borderId="8" xfId="0" applyFont="1" applyFill="1" applyBorder="1">
      <alignment vertical="center"/>
    </xf>
    <xf numFmtId="0" fontId="11" fillId="2" borderId="4" xfId="0" applyFont="1" applyFill="1" applyBorder="1">
      <alignment vertical="center"/>
    </xf>
    <xf numFmtId="0" fontId="11" fillId="2" borderId="9" xfId="0" applyFont="1" applyFill="1" applyBorder="1">
      <alignment vertical="center"/>
    </xf>
    <xf numFmtId="0" fontId="11" fillId="2" borderId="10" xfId="0" applyFont="1" applyFill="1" applyBorder="1">
      <alignment vertical="center"/>
    </xf>
    <xf numFmtId="0" fontId="11" fillId="2" borderId="11" xfId="0" applyFont="1" applyFill="1" applyBorder="1">
      <alignment vertical="center"/>
    </xf>
    <xf numFmtId="0" fontId="11" fillId="2" borderId="12" xfId="0" applyFont="1" applyFill="1" applyBorder="1">
      <alignment vertical="center"/>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2" borderId="9" xfId="0" applyFill="1" applyBorder="1" applyAlignment="1">
      <alignment vertical="center" shrinkToFit="1"/>
    </xf>
    <xf numFmtId="0" fontId="5" fillId="2" borderId="8" xfId="0" applyFont="1" applyFill="1" applyBorder="1" applyAlignment="1">
      <alignment horizontal="center"/>
    </xf>
    <xf numFmtId="178" fontId="6" fillId="2" borderId="78" xfId="0" applyNumberFormat="1" applyFont="1" applyFill="1" applyBorder="1" applyAlignment="1">
      <alignment horizontal="center" vertical="center"/>
    </xf>
    <xf numFmtId="178" fontId="6" fillId="2" borderId="79" xfId="0" applyNumberFormat="1" applyFont="1" applyFill="1" applyBorder="1" applyAlignment="1">
      <alignment horizontal="center" vertical="center"/>
    </xf>
    <xf numFmtId="178" fontId="6" fillId="2" borderId="80" xfId="0" applyNumberFormat="1" applyFont="1" applyFill="1" applyBorder="1" applyAlignment="1">
      <alignment horizontal="center" vertical="center"/>
    </xf>
    <xf numFmtId="179" fontId="11" fillId="2" borderId="1" xfId="0" applyNumberFormat="1" applyFont="1" applyFill="1" applyBorder="1" applyAlignment="1">
      <alignment horizontal="center" vertical="center"/>
    </xf>
    <xf numFmtId="180" fontId="6" fillId="2" borderId="78" xfId="0" applyNumberFormat="1" applyFont="1" applyFill="1" applyBorder="1" applyAlignment="1">
      <alignment horizontal="center" vertical="center"/>
    </xf>
    <xf numFmtId="180" fontId="6" fillId="2" borderId="79" xfId="0" applyNumberFormat="1" applyFont="1" applyFill="1" applyBorder="1" applyAlignment="1">
      <alignment horizontal="center" vertical="center"/>
    </xf>
    <xf numFmtId="180" fontId="6" fillId="2" borderId="80" xfId="0" applyNumberFormat="1" applyFont="1" applyFill="1" applyBorder="1" applyAlignment="1">
      <alignment horizontal="center" vertical="center"/>
    </xf>
    <xf numFmtId="0" fontId="14" fillId="2" borderId="78"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80" xfId="0" applyFont="1" applyFill="1" applyBorder="1" applyAlignment="1">
      <alignment horizontal="center" vertical="center"/>
    </xf>
    <xf numFmtId="178" fontId="11" fillId="2" borderId="10" xfId="0" applyNumberFormat="1" applyFont="1" applyFill="1" applyBorder="1" applyAlignment="1">
      <alignment horizontal="center" vertical="center"/>
    </xf>
    <xf numFmtId="178" fontId="11" fillId="2" borderId="11" xfId="0" applyNumberFormat="1" applyFont="1" applyFill="1" applyBorder="1" applyAlignment="1">
      <alignment horizontal="center" vertical="center"/>
    </xf>
    <xf numFmtId="178" fontId="11" fillId="2" borderId="12" xfId="0" applyNumberFormat="1" applyFont="1" applyFill="1" applyBorder="1" applyAlignment="1">
      <alignment horizontal="center" vertical="center"/>
    </xf>
    <xf numFmtId="176" fontId="6" fillId="0" borderId="81" xfId="0" applyNumberFormat="1" applyFont="1" applyBorder="1" applyProtection="1">
      <alignment vertical="center"/>
      <protection locked="0"/>
    </xf>
    <xf numFmtId="176" fontId="6" fillId="0" borderId="82" xfId="0" applyNumberFormat="1" applyFont="1" applyBorder="1" applyProtection="1">
      <alignment vertical="center"/>
      <protection locked="0"/>
    </xf>
    <xf numFmtId="176" fontId="6" fillId="0" borderId="83" xfId="0" applyNumberFormat="1" applyFont="1" applyBorder="1" applyProtection="1">
      <alignmen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protection locked="0"/>
    </xf>
    <xf numFmtId="0" fontId="6" fillId="2" borderId="49"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0" xfId="0" applyFont="1" applyFill="1" applyAlignment="1">
      <alignment horizontal="center" vertical="center"/>
    </xf>
    <xf numFmtId="0" fontId="6" fillId="2" borderId="55" xfId="0" applyFont="1" applyFill="1" applyBorder="1" applyAlignment="1">
      <alignment horizontal="center" vertical="center"/>
    </xf>
    <xf numFmtId="0" fontId="6" fillId="2" borderId="11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7"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179" fontId="7" fillId="2" borderId="10" xfId="0" applyNumberFormat="1" applyFont="1" applyFill="1" applyBorder="1" applyAlignment="1">
      <alignment horizontal="center" vertical="center"/>
    </xf>
    <xf numFmtId="179" fontId="7" fillId="2" borderId="11" xfId="0" applyNumberFormat="1" applyFont="1" applyFill="1" applyBorder="1" applyAlignment="1">
      <alignment horizontal="center" vertical="center"/>
    </xf>
    <xf numFmtId="179" fontId="7" fillId="2" borderId="12" xfId="0" applyNumberFormat="1" applyFont="1" applyFill="1" applyBorder="1" applyAlignment="1">
      <alignment horizontal="center" vertical="center"/>
    </xf>
    <xf numFmtId="178" fontId="7" fillId="2" borderId="10" xfId="0" applyNumberFormat="1" applyFont="1" applyFill="1" applyBorder="1" applyAlignment="1">
      <alignment horizontal="center" vertical="center"/>
    </xf>
    <xf numFmtId="178" fontId="7" fillId="2" borderId="11" xfId="0" applyNumberFormat="1" applyFont="1" applyFill="1" applyBorder="1" applyAlignment="1">
      <alignment horizontal="center" vertical="center"/>
    </xf>
    <xf numFmtId="178" fontId="7" fillId="2" borderId="12" xfId="0" applyNumberFormat="1" applyFont="1" applyFill="1" applyBorder="1" applyAlignment="1">
      <alignment horizontal="center" vertical="center"/>
    </xf>
    <xf numFmtId="0" fontId="0" fillId="0" borderId="11" xfId="0" applyBorder="1" applyAlignment="1" applyProtection="1">
      <alignment horizontal="center" vertical="top" wrapText="1"/>
      <protection locked="0"/>
    </xf>
    <xf numFmtId="0" fontId="0" fillId="2" borderId="11" xfId="0" applyFill="1" applyBorder="1" applyAlignment="1">
      <alignment horizontal="center" vertical="top" wrapText="1"/>
    </xf>
    <xf numFmtId="0" fontId="0" fillId="2" borderId="13" xfId="0" applyFill="1" applyBorder="1" applyAlignment="1" applyProtection="1">
      <alignment horizontal="center" vertical="center"/>
      <protection locked="0"/>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0" fillId="2" borderId="1" xfId="0" applyFill="1" applyBorder="1" applyAlignment="1">
      <alignment vertical="center" shrinkToFit="1"/>
    </xf>
    <xf numFmtId="0" fontId="15" fillId="2" borderId="109" xfId="0" applyFont="1" applyFill="1" applyBorder="1" applyAlignment="1">
      <alignment horizontal="center" vertical="center"/>
    </xf>
    <xf numFmtId="0" fontId="15" fillId="2" borderId="110" xfId="0" applyFont="1" applyFill="1" applyBorder="1" applyAlignment="1">
      <alignment horizontal="center" vertical="center"/>
    </xf>
    <xf numFmtId="0" fontId="15" fillId="2" borderId="111" xfId="0" applyFont="1" applyFill="1" applyBorder="1" applyAlignment="1">
      <alignment horizontal="center" vertical="center"/>
    </xf>
    <xf numFmtId="0" fontId="14" fillId="2" borderId="11" xfId="0" applyFont="1" applyFill="1" applyBorder="1" applyAlignment="1">
      <alignment horizontal="center" vertical="center"/>
    </xf>
    <xf numFmtId="0" fontId="18" fillId="2" borderId="3" xfId="0" applyFont="1" applyFill="1" applyBorder="1" applyAlignment="1">
      <alignment horizontal="right" vertical="center" shrinkToFit="1"/>
    </xf>
    <xf numFmtId="0" fontId="14" fillId="2" borderId="0" xfId="0" applyFont="1" applyFill="1" applyAlignment="1">
      <alignment horizontal="center" vertical="center" shrinkToFit="1"/>
    </xf>
    <xf numFmtId="0" fontId="19" fillId="2" borderId="11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2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4" fillId="2" borderId="0" xfId="0" applyFont="1" applyFill="1" applyAlignment="1">
      <alignment vertical="top" wrapText="1"/>
    </xf>
    <xf numFmtId="0" fontId="14" fillId="2" borderId="0" xfId="0" applyFont="1" applyFill="1" applyAlignment="1">
      <alignment horizontal="center" vertical="top" shrinkToFit="1"/>
    </xf>
    <xf numFmtId="0" fontId="4" fillId="2" borderId="0" xfId="0" applyFont="1" applyFill="1" applyAlignment="1">
      <alignment vertical="top" wrapText="1"/>
    </xf>
    <xf numFmtId="0" fontId="8"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4" xfId="0" applyFont="1" applyFill="1" applyBorder="1">
      <alignment vertical="center"/>
    </xf>
    <xf numFmtId="0" fontId="15" fillId="2" borderId="107" xfId="0" applyFont="1" applyFill="1" applyBorder="1">
      <alignment vertical="center"/>
    </xf>
    <xf numFmtId="0" fontId="15" fillId="2" borderId="101" xfId="0" applyFont="1" applyFill="1" applyBorder="1">
      <alignment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5" fillId="2" borderId="3" xfId="0" applyFont="1" applyFill="1" applyBorder="1" applyAlignment="1">
      <alignment vertical="top" wrapText="1"/>
    </xf>
    <xf numFmtId="0" fontId="5" fillId="2" borderId="0" xfId="0" applyFont="1" applyFill="1" applyAlignment="1">
      <alignment vertical="top" wrapText="1"/>
    </xf>
    <xf numFmtId="0" fontId="0" fillId="0" borderId="1" xfId="0" applyBorder="1">
      <alignment vertical="center"/>
    </xf>
    <xf numFmtId="0" fontId="0" fillId="0" borderId="10" xfId="0" applyBorder="1">
      <alignment vertical="center"/>
    </xf>
    <xf numFmtId="0" fontId="0" fillId="0" borderId="31" xfId="0" applyBorder="1">
      <alignment vertical="center"/>
    </xf>
    <xf numFmtId="0" fontId="0" fillId="0" borderId="11"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12" xfId="0" applyBorder="1">
      <alignmen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2" xfId="0" applyBorder="1">
      <alignment vertical="center"/>
    </xf>
    <xf numFmtId="0" fontId="0" fillId="0" borderId="3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2"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0" xfId="0" applyAlignment="1">
      <alignment vertical="top" wrapText="1"/>
    </xf>
    <xf numFmtId="0" fontId="0" fillId="0" borderId="52" xfId="0" applyBorder="1" applyAlignment="1">
      <alignment vertical="top" wrapText="1"/>
    </xf>
    <xf numFmtId="0" fontId="0" fillId="0" borderId="1" xfId="0" applyBorder="1" applyAlignment="1">
      <alignment horizontal="center" vertical="center"/>
    </xf>
    <xf numFmtId="0" fontId="0" fillId="0" borderId="57" xfId="0" applyBorder="1" applyAlignment="1">
      <alignment horizontal="center" vertical="center"/>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xf numFmtId="0" fontId="0" fillId="0" borderId="52" xfId="0" applyBorder="1" applyAlignment="1">
      <alignment vertical="top"/>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49"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C$58"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C$60"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C$6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C$64"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C$66"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A$82"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C$82"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C$86"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C$90"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fmlaLink="$C$94"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57"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48</xdr:row>
          <xdr:rowOff>19050</xdr:rowOff>
        </xdr:from>
        <xdr:to>
          <xdr:col>14</xdr:col>
          <xdr:colOff>28575</xdr:colOff>
          <xdr:row>49</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49</xdr:row>
          <xdr:rowOff>47625</xdr:rowOff>
        </xdr:from>
        <xdr:to>
          <xdr:col>14</xdr:col>
          <xdr:colOff>28575</xdr:colOff>
          <xdr:row>49</xdr:row>
          <xdr:rowOff>200025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50</xdr:row>
          <xdr:rowOff>57150</xdr:rowOff>
        </xdr:from>
        <xdr:to>
          <xdr:col>14</xdr:col>
          <xdr:colOff>0</xdr:colOff>
          <xdr:row>50</xdr:row>
          <xdr:rowOff>180975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28575</xdr:rowOff>
        </xdr:from>
        <xdr:to>
          <xdr:col>13</xdr:col>
          <xdr:colOff>228600</xdr:colOff>
          <xdr:row>51</xdr:row>
          <xdr:rowOff>200025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0</xdr:rowOff>
        </xdr:from>
        <xdr:to>
          <xdr:col>30</xdr:col>
          <xdr:colOff>19050</xdr:colOff>
          <xdr:row>52</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56</xdr:row>
          <xdr:rowOff>19050</xdr:rowOff>
        </xdr:from>
        <xdr:to>
          <xdr:col>14</xdr:col>
          <xdr:colOff>19050</xdr:colOff>
          <xdr:row>56</xdr:row>
          <xdr:rowOff>219075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57</xdr:row>
          <xdr:rowOff>28575</xdr:rowOff>
        </xdr:from>
        <xdr:to>
          <xdr:col>14</xdr:col>
          <xdr:colOff>114300</xdr:colOff>
          <xdr:row>57</xdr:row>
          <xdr:rowOff>200025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59</xdr:row>
          <xdr:rowOff>47625</xdr:rowOff>
        </xdr:from>
        <xdr:to>
          <xdr:col>14</xdr:col>
          <xdr:colOff>19050</xdr:colOff>
          <xdr:row>59</xdr:row>
          <xdr:rowOff>209550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61</xdr:row>
          <xdr:rowOff>38100</xdr:rowOff>
        </xdr:from>
        <xdr:to>
          <xdr:col>13</xdr:col>
          <xdr:colOff>219075</xdr:colOff>
          <xdr:row>61</xdr:row>
          <xdr:rowOff>200025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19050</xdr:rowOff>
        </xdr:from>
        <xdr:to>
          <xdr:col>14</xdr:col>
          <xdr:colOff>19050</xdr:colOff>
          <xdr:row>63</xdr:row>
          <xdr:rowOff>200025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28575</xdr:rowOff>
        </xdr:from>
        <xdr:to>
          <xdr:col>14</xdr:col>
          <xdr:colOff>19050</xdr:colOff>
          <xdr:row>65</xdr:row>
          <xdr:rowOff>200025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56</xdr:row>
          <xdr:rowOff>0</xdr:rowOff>
        </xdr:from>
        <xdr:to>
          <xdr:col>25</xdr:col>
          <xdr:colOff>9525</xdr:colOff>
          <xdr:row>66</xdr:row>
          <xdr:rowOff>238125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57</xdr:row>
          <xdr:rowOff>28575</xdr:rowOff>
        </xdr:from>
        <xdr:to>
          <xdr:col>26</xdr:col>
          <xdr:colOff>38100</xdr:colOff>
          <xdr:row>57</xdr:row>
          <xdr:rowOff>209550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58</xdr:row>
          <xdr:rowOff>38100</xdr:rowOff>
        </xdr:from>
        <xdr:to>
          <xdr:col>25</xdr:col>
          <xdr:colOff>219075</xdr:colOff>
          <xdr:row>58</xdr:row>
          <xdr:rowOff>190500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57</xdr:row>
          <xdr:rowOff>0</xdr:rowOff>
        </xdr:from>
        <xdr:to>
          <xdr:col>30</xdr:col>
          <xdr:colOff>0</xdr:colOff>
          <xdr:row>59</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59</xdr:row>
          <xdr:rowOff>19050</xdr:rowOff>
        </xdr:from>
        <xdr:to>
          <xdr:col>26</xdr:col>
          <xdr:colOff>0</xdr:colOff>
          <xdr:row>59</xdr:row>
          <xdr:rowOff>209550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60</xdr:row>
          <xdr:rowOff>28575</xdr:rowOff>
        </xdr:from>
        <xdr:to>
          <xdr:col>25</xdr:col>
          <xdr:colOff>219075</xdr:colOff>
          <xdr:row>60</xdr:row>
          <xdr:rowOff>209550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59</xdr:row>
          <xdr:rowOff>0</xdr:rowOff>
        </xdr:from>
        <xdr:to>
          <xdr:col>30</xdr:col>
          <xdr:colOff>0</xdr:colOff>
          <xdr:row>61</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61</xdr:row>
          <xdr:rowOff>28575</xdr:rowOff>
        </xdr:from>
        <xdr:to>
          <xdr:col>25</xdr:col>
          <xdr:colOff>209550</xdr:colOff>
          <xdr:row>61</xdr:row>
          <xdr:rowOff>209550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62</xdr:row>
          <xdr:rowOff>47625</xdr:rowOff>
        </xdr:from>
        <xdr:to>
          <xdr:col>25</xdr:col>
          <xdr:colOff>209550</xdr:colOff>
          <xdr:row>62</xdr:row>
          <xdr:rowOff>180975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61</xdr:row>
          <xdr:rowOff>9525</xdr:rowOff>
        </xdr:from>
        <xdr:to>
          <xdr:col>30</xdr:col>
          <xdr:colOff>0</xdr:colOff>
          <xdr:row>63</xdr:row>
          <xdr:rowOff>9525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63</xdr:row>
          <xdr:rowOff>19050</xdr:rowOff>
        </xdr:from>
        <xdr:to>
          <xdr:col>26</xdr:col>
          <xdr:colOff>19050</xdr:colOff>
          <xdr:row>63</xdr:row>
          <xdr:rowOff>209550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64</xdr:row>
          <xdr:rowOff>19050</xdr:rowOff>
        </xdr:from>
        <xdr:to>
          <xdr:col>26</xdr:col>
          <xdr:colOff>19050</xdr:colOff>
          <xdr:row>64</xdr:row>
          <xdr:rowOff>219075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63</xdr:row>
          <xdr:rowOff>9525</xdr:rowOff>
        </xdr:from>
        <xdr:to>
          <xdr:col>30</xdr:col>
          <xdr:colOff>0</xdr:colOff>
          <xdr:row>65</xdr:row>
          <xdr:rowOff>9525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65</xdr:row>
          <xdr:rowOff>38100</xdr:rowOff>
        </xdr:from>
        <xdr:to>
          <xdr:col>25</xdr:col>
          <xdr:colOff>219075</xdr:colOff>
          <xdr:row>65</xdr:row>
          <xdr:rowOff>200025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66</xdr:row>
          <xdr:rowOff>28575</xdr:rowOff>
        </xdr:from>
        <xdr:to>
          <xdr:col>26</xdr:col>
          <xdr:colOff>47625</xdr:colOff>
          <xdr:row>66</xdr:row>
          <xdr:rowOff>209550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65</xdr:row>
          <xdr:rowOff>0</xdr:rowOff>
        </xdr:from>
        <xdr:to>
          <xdr:col>30</xdr:col>
          <xdr:colOff>9525</xdr:colOff>
          <xdr:row>66</xdr:row>
          <xdr:rowOff>238125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81</xdr:row>
          <xdr:rowOff>9525</xdr:rowOff>
        </xdr:from>
        <xdr:to>
          <xdr:col>14</xdr:col>
          <xdr:colOff>19050</xdr:colOff>
          <xdr:row>81</xdr:row>
          <xdr:rowOff>219075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14</xdr:col>
          <xdr:colOff>19050</xdr:colOff>
          <xdr:row>85</xdr:row>
          <xdr:rowOff>209550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9525</xdr:rowOff>
        </xdr:from>
        <xdr:to>
          <xdr:col>14</xdr:col>
          <xdr:colOff>9525</xdr:colOff>
          <xdr:row>89</xdr:row>
          <xdr:rowOff>228600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93</xdr:row>
          <xdr:rowOff>38100</xdr:rowOff>
        </xdr:from>
        <xdr:to>
          <xdr:col>14</xdr:col>
          <xdr:colOff>66675</xdr:colOff>
          <xdr:row>93</xdr:row>
          <xdr:rowOff>209550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81</xdr:row>
          <xdr:rowOff>9525</xdr:rowOff>
        </xdr:from>
        <xdr:to>
          <xdr:col>20</xdr:col>
          <xdr:colOff>0</xdr:colOff>
          <xdr:row>96</xdr:row>
          <xdr:rowOff>238125</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81</xdr:row>
          <xdr:rowOff>9525</xdr:rowOff>
        </xdr:from>
        <xdr:to>
          <xdr:col>21</xdr:col>
          <xdr:colOff>38100</xdr:colOff>
          <xdr:row>81</xdr:row>
          <xdr:rowOff>209550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82</xdr:row>
          <xdr:rowOff>19050</xdr:rowOff>
        </xdr:from>
        <xdr:to>
          <xdr:col>21</xdr:col>
          <xdr:colOff>28575</xdr:colOff>
          <xdr:row>82</xdr:row>
          <xdr:rowOff>209550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83</xdr:row>
          <xdr:rowOff>19050</xdr:rowOff>
        </xdr:from>
        <xdr:to>
          <xdr:col>21</xdr:col>
          <xdr:colOff>0</xdr:colOff>
          <xdr:row>83</xdr:row>
          <xdr:rowOff>200025</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84</xdr:row>
          <xdr:rowOff>9525</xdr:rowOff>
        </xdr:from>
        <xdr:to>
          <xdr:col>21</xdr:col>
          <xdr:colOff>57150</xdr:colOff>
          <xdr:row>84</xdr:row>
          <xdr:rowOff>200025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9525</xdr:rowOff>
        </xdr:from>
        <xdr:to>
          <xdr:col>30</xdr:col>
          <xdr:colOff>0</xdr:colOff>
          <xdr:row>85</xdr:row>
          <xdr:rowOff>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85</xdr:row>
          <xdr:rowOff>9525</xdr:rowOff>
        </xdr:from>
        <xdr:to>
          <xdr:col>21</xdr:col>
          <xdr:colOff>0</xdr:colOff>
          <xdr:row>85</xdr:row>
          <xdr:rowOff>200025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xdr:row>
          <xdr:rowOff>19050</xdr:rowOff>
        </xdr:from>
        <xdr:to>
          <xdr:col>21</xdr:col>
          <xdr:colOff>0</xdr:colOff>
          <xdr:row>86</xdr:row>
          <xdr:rowOff>209550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87</xdr:row>
          <xdr:rowOff>19050</xdr:rowOff>
        </xdr:from>
        <xdr:to>
          <xdr:col>21</xdr:col>
          <xdr:colOff>0</xdr:colOff>
          <xdr:row>87</xdr:row>
          <xdr:rowOff>219075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88</xdr:row>
          <xdr:rowOff>28575</xdr:rowOff>
        </xdr:from>
        <xdr:to>
          <xdr:col>21</xdr:col>
          <xdr:colOff>28575</xdr:colOff>
          <xdr:row>88</xdr:row>
          <xdr:rowOff>209550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85</xdr:row>
          <xdr:rowOff>9525</xdr:rowOff>
        </xdr:from>
        <xdr:to>
          <xdr:col>30</xdr:col>
          <xdr:colOff>0</xdr:colOff>
          <xdr:row>89</xdr:row>
          <xdr:rowOff>0</xdr:rowOff>
        </xdr:to>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89</xdr:row>
          <xdr:rowOff>28575</xdr:rowOff>
        </xdr:from>
        <xdr:to>
          <xdr:col>21</xdr:col>
          <xdr:colOff>19050</xdr:colOff>
          <xdr:row>89</xdr:row>
          <xdr:rowOff>209550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90</xdr:row>
          <xdr:rowOff>19050</xdr:rowOff>
        </xdr:from>
        <xdr:to>
          <xdr:col>21</xdr:col>
          <xdr:colOff>0</xdr:colOff>
          <xdr:row>90</xdr:row>
          <xdr:rowOff>209550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91</xdr:row>
          <xdr:rowOff>19050</xdr:rowOff>
        </xdr:from>
        <xdr:to>
          <xdr:col>21</xdr:col>
          <xdr:colOff>9525</xdr:colOff>
          <xdr:row>91</xdr:row>
          <xdr:rowOff>209550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92</xdr:row>
          <xdr:rowOff>9525</xdr:rowOff>
        </xdr:from>
        <xdr:to>
          <xdr:col>21</xdr:col>
          <xdr:colOff>19050</xdr:colOff>
          <xdr:row>92</xdr:row>
          <xdr:rowOff>209550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89</xdr:row>
          <xdr:rowOff>9525</xdr:rowOff>
        </xdr:from>
        <xdr:to>
          <xdr:col>30</xdr:col>
          <xdr:colOff>0</xdr:colOff>
          <xdr:row>93</xdr:row>
          <xdr:rowOff>9525</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93</xdr:row>
          <xdr:rowOff>38100</xdr:rowOff>
        </xdr:from>
        <xdr:to>
          <xdr:col>21</xdr:col>
          <xdr:colOff>0</xdr:colOff>
          <xdr:row>93</xdr:row>
          <xdr:rowOff>209550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94</xdr:row>
          <xdr:rowOff>9525</xdr:rowOff>
        </xdr:from>
        <xdr:to>
          <xdr:col>21</xdr:col>
          <xdr:colOff>0</xdr:colOff>
          <xdr:row>94</xdr:row>
          <xdr:rowOff>219075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95</xdr:row>
          <xdr:rowOff>38100</xdr:rowOff>
        </xdr:from>
        <xdr:to>
          <xdr:col>21</xdr:col>
          <xdr:colOff>57150</xdr:colOff>
          <xdr:row>95</xdr:row>
          <xdr:rowOff>190500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96</xdr:row>
          <xdr:rowOff>19050</xdr:rowOff>
        </xdr:from>
        <xdr:to>
          <xdr:col>21</xdr:col>
          <xdr:colOff>0</xdr:colOff>
          <xdr:row>96</xdr:row>
          <xdr:rowOff>209550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93</xdr:row>
          <xdr:rowOff>0</xdr:rowOff>
        </xdr:from>
        <xdr:to>
          <xdr:col>30</xdr:col>
          <xdr:colOff>0</xdr:colOff>
          <xdr:row>96</xdr:row>
          <xdr:rowOff>238125</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B0D8-6954-4C38-821F-ADE7BAB2F497}">
  <sheetPr>
    <tabColor rgb="FFC00000"/>
  </sheetPr>
  <dimension ref="A1:AX78"/>
  <sheetViews>
    <sheetView tabSelected="1" view="pageBreakPreview" topLeftCell="I1" zoomScaleNormal="100" zoomScaleSheetLayoutView="100" workbookViewId="0">
      <selection activeCell="M4" sqref="M4:O4"/>
    </sheetView>
  </sheetViews>
  <sheetFormatPr defaultRowHeight="18.75" x14ac:dyDescent="0.4"/>
  <cols>
    <col min="1" max="4" width="0" style="124" hidden="1" customWidth="1"/>
    <col min="5" max="5" width="9.25" style="125" hidden="1" customWidth="1"/>
    <col min="6" max="8" width="0" style="125" hidden="1" customWidth="1"/>
    <col min="9" max="9" width="8.625" style="88" customWidth="1"/>
    <col min="10" max="96" width="3.125" style="88" customWidth="1"/>
    <col min="97" max="16384" width="9" style="88"/>
  </cols>
  <sheetData>
    <row r="1" spans="1:50" x14ac:dyDescent="0.4">
      <c r="J1" s="91" t="s">
        <v>320</v>
      </c>
      <c r="AD1" s="261" t="s">
        <v>84</v>
      </c>
      <c r="AE1" s="262"/>
      <c r="AF1" s="262"/>
      <c r="AG1" s="262"/>
      <c r="AH1" s="262"/>
    </row>
    <row r="2" spans="1:50" x14ac:dyDescent="0.4">
      <c r="AH2" s="91">
        <v>1</v>
      </c>
    </row>
    <row r="3" spans="1:50" x14ac:dyDescent="0.4">
      <c r="AD3" s="89" t="s">
        <v>106</v>
      </c>
      <c r="AE3" s="90">
        <f>W13</f>
        <v>4</v>
      </c>
      <c r="AF3" s="263" t="s">
        <v>108</v>
      </c>
      <c r="AG3" s="263"/>
      <c r="AH3" s="90">
        <f>A16</f>
        <v>1</v>
      </c>
    </row>
    <row r="4" spans="1:50" x14ac:dyDescent="0.4">
      <c r="J4" s="264" t="s">
        <v>107</v>
      </c>
      <c r="K4" s="264"/>
      <c r="L4" s="264"/>
      <c r="M4" s="265"/>
      <c r="N4" s="265"/>
      <c r="O4" s="265"/>
      <c r="P4" s="91" t="s">
        <v>101</v>
      </c>
      <c r="Q4" s="102"/>
      <c r="R4" s="93" t="s">
        <v>102</v>
      </c>
      <c r="S4" s="102"/>
      <c r="T4" s="93" t="s">
        <v>103</v>
      </c>
    </row>
    <row r="5" spans="1:50" ht="19.5" thickBot="1" x14ac:dyDescent="0.45"/>
    <row r="6" spans="1:50" ht="30" customHeight="1" x14ac:dyDescent="0.4">
      <c r="J6" s="266" t="s">
        <v>0</v>
      </c>
      <c r="K6" s="267"/>
      <c r="L6" s="267"/>
      <c r="M6" s="267"/>
      <c r="N6" s="267"/>
      <c r="O6" s="267"/>
      <c r="P6" s="267"/>
      <c r="Q6" s="267"/>
      <c r="R6" s="267"/>
      <c r="S6" s="267"/>
      <c r="T6" s="267"/>
      <c r="U6" s="267"/>
      <c r="V6" s="267"/>
      <c r="W6" s="267"/>
      <c r="X6" s="267"/>
      <c r="Y6" s="267"/>
      <c r="Z6" s="267"/>
      <c r="AA6" s="267"/>
      <c r="AB6" s="267"/>
      <c r="AC6" s="267"/>
      <c r="AD6" s="267"/>
      <c r="AE6" s="267"/>
      <c r="AF6" s="267"/>
      <c r="AG6" s="267"/>
      <c r="AH6" s="268"/>
    </row>
    <row r="7" spans="1:50" ht="30" customHeight="1" thickBot="1" x14ac:dyDescent="0.45">
      <c r="J7" s="272" t="s">
        <v>1</v>
      </c>
      <c r="K7" s="273"/>
      <c r="L7" s="273"/>
      <c r="M7" s="273"/>
      <c r="N7" s="273"/>
      <c r="O7" s="273"/>
      <c r="P7" s="273"/>
      <c r="Q7" s="273"/>
      <c r="R7" s="273"/>
      <c r="S7" s="273"/>
      <c r="T7" s="273"/>
      <c r="U7" s="273"/>
      <c r="V7" s="273"/>
      <c r="W7" s="273"/>
      <c r="X7" s="273"/>
      <c r="Y7" s="273"/>
      <c r="Z7" s="273"/>
      <c r="AA7" s="273"/>
      <c r="AB7" s="273"/>
      <c r="AC7" s="273"/>
      <c r="AD7" s="273"/>
      <c r="AE7" s="273"/>
      <c r="AF7" s="273"/>
      <c r="AG7" s="273"/>
      <c r="AH7" s="274"/>
    </row>
    <row r="9" spans="1:50" x14ac:dyDescent="0.4">
      <c r="J9" s="269" t="s">
        <v>3</v>
      </c>
      <c r="K9" s="269"/>
      <c r="L9" s="269"/>
      <c r="M9" s="269"/>
      <c r="N9" s="269"/>
      <c r="O9" s="269"/>
      <c r="P9" s="269"/>
      <c r="Q9" s="269"/>
      <c r="R9" s="269"/>
      <c r="S9" s="270"/>
      <c r="T9" s="270"/>
      <c r="U9" s="270"/>
      <c r="V9" s="270"/>
      <c r="W9" s="270"/>
      <c r="X9" s="270"/>
      <c r="Y9" s="270"/>
      <c r="Z9" s="270"/>
      <c r="AA9" s="270"/>
      <c r="AB9" s="270"/>
      <c r="AC9" s="270"/>
      <c r="AD9" s="270"/>
      <c r="AE9" s="270"/>
      <c r="AF9" s="270"/>
      <c r="AG9" s="270"/>
      <c r="AH9" s="270"/>
    </row>
    <row r="10" spans="1:50" x14ac:dyDescent="0.4">
      <c r="J10" s="269" t="s">
        <v>4</v>
      </c>
      <c r="K10" s="269"/>
      <c r="L10" s="269"/>
      <c r="M10" s="269"/>
      <c r="N10" s="269"/>
      <c r="O10" s="269"/>
      <c r="P10" s="269"/>
      <c r="Q10" s="269"/>
      <c r="R10" s="269"/>
      <c r="S10" s="270"/>
      <c r="T10" s="270"/>
      <c r="U10" s="270"/>
      <c r="V10" s="270"/>
      <c r="W10" s="270"/>
      <c r="X10" s="270"/>
      <c r="Y10" s="270"/>
      <c r="Z10" s="270"/>
      <c r="AA10" s="270"/>
      <c r="AB10" s="270"/>
      <c r="AC10" s="270"/>
      <c r="AD10" s="270"/>
      <c r="AE10" s="270"/>
      <c r="AF10" s="270"/>
      <c r="AG10" s="270"/>
      <c r="AH10" s="270"/>
    </row>
    <row r="11" spans="1:50" x14ac:dyDescent="0.4">
      <c r="J11" s="269" t="s">
        <v>5</v>
      </c>
      <c r="K11" s="269"/>
      <c r="L11" s="269"/>
      <c r="M11" s="269"/>
      <c r="N11" s="269"/>
      <c r="O11" s="269"/>
      <c r="P11" s="269"/>
      <c r="Q11" s="269"/>
      <c r="R11" s="269"/>
      <c r="S11" s="270"/>
      <c r="T11" s="270"/>
      <c r="U11" s="270"/>
      <c r="V11" s="270"/>
      <c r="W11" s="270"/>
      <c r="X11" s="270"/>
      <c r="Y11" s="270"/>
      <c r="Z11" s="270"/>
      <c r="AA11" s="270"/>
      <c r="AB11" s="270"/>
      <c r="AC11" s="270"/>
      <c r="AD11" s="270"/>
      <c r="AE11" s="270"/>
      <c r="AF11" s="270"/>
      <c r="AG11" s="270"/>
      <c r="AH11" s="270"/>
    </row>
    <row r="13" spans="1:50" x14ac:dyDescent="0.4">
      <c r="J13" s="269" t="s">
        <v>6</v>
      </c>
      <c r="K13" s="269"/>
      <c r="L13" s="269"/>
      <c r="M13" s="269"/>
      <c r="N13" s="269"/>
      <c r="O13" s="269"/>
      <c r="P13" s="269"/>
      <c r="Q13" s="269"/>
      <c r="R13" s="269"/>
      <c r="S13" s="94"/>
      <c r="T13" s="95"/>
      <c r="U13" s="95"/>
      <c r="V13" s="95"/>
      <c r="W13" s="271">
        <v>4</v>
      </c>
      <c r="X13" s="271"/>
      <c r="Y13" s="95" t="s">
        <v>173</v>
      </c>
      <c r="Z13" s="95"/>
      <c r="AA13" s="95"/>
      <c r="AB13" s="95"/>
      <c r="AC13" s="95"/>
      <c r="AD13" s="95"/>
      <c r="AE13" s="95"/>
      <c r="AF13" s="95"/>
      <c r="AG13" s="95"/>
      <c r="AH13" s="96"/>
      <c r="AS13"/>
      <c r="AT13"/>
      <c r="AU13"/>
      <c r="AV13"/>
      <c r="AW13"/>
      <c r="AX13"/>
    </row>
    <row r="14" spans="1:50" x14ac:dyDescent="0.4">
      <c r="A14" s="124">
        <f>W13</f>
        <v>4</v>
      </c>
      <c r="B14" s="124" t="s">
        <v>173</v>
      </c>
      <c r="J14" s="299" t="s">
        <v>109</v>
      </c>
      <c r="K14" s="299"/>
      <c r="L14" s="299"/>
      <c r="M14" s="299"/>
      <c r="N14" s="299"/>
      <c r="O14" s="299"/>
      <c r="P14" s="299"/>
      <c r="Q14" s="299"/>
      <c r="R14" s="299"/>
      <c r="S14" s="94"/>
      <c r="T14" s="95"/>
      <c r="U14" s="95"/>
      <c r="V14" s="95"/>
      <c r="W14" s="292" t="s">
        <v>174</v>
      </c>
      <c r="X14" s="292"/>
      <c r="Y14" s="292"/>
      <c r="Z14" s="292"/>
      <c r="AA14" s="292"/>
      <c r="AB14" s="95"/>
      <c r="AC14" s="95"/>
      <c r="AD14" s="95"/>
      <c r="AE14" s="95"/>
      <c r="AF14" s="95"/>
      <c r="AG14" s="95"/>
      <c r="AH14" s="96"/>
      <c r="AS14"/>
      <c r="AT14"/>
      <c r="AU14"/>
      <c r="AV14"/>
      <c r="AW14"/>
      <c r="AX14"/>
    </row>
    <row r="15" spans="1:50" x14ac:dyDescent="0.4">
      <c r="A15" s="124">
        <f>IF(U15="床断熱住戸",1,2)</f>
        <v>1</v>
      </c>
      <c r="B15" s="126" t="s">
        <v>222</v>
      </c>
      <c r="J15" s="300" t="s">
        <v>7</v>
      </c>
      <c r="K15" s="301"/>
      <c r="L15" s="301"/>
      <c r="M15" s="301"/>
      <c r="N15" s="301"/>
      <c r="O15" s="301"/>
      <c r="P15" s="301"/>
      <c r="Q15" s="301"/>
      <c r="R15" s="302"/>
      <c r="S15" s="94"/>
      <c r="T15" s="95"/>
      <c r="U15" s="293" t="s">
        <v>175</v>
      </c>
      <c r="V15" s="293"/>
      <c r="W15" s="293"/>
      <c r="X15" s="293"/>
      <c r="Y15" s="293"/>
      <c r="Z15" s="293"/>
      <c r="AA15" s="293"/>
      <c r="AB15" s="293"/>
      <c r="AC15" s="293"/>
      <c r="AD15" s="95"/>
      <c r="AE15" s="95"/>
      <c r="AF15" s="95"/>
      <c r="AG15" s="95"/>
      <c r="AH15" s="96"/>
      <c r="AS15"/>
      <c r="AT15"/>
      <c r="AU15"/>
      <c r="AV15"/>
      <c r="AW15"/>
      <c r="AX15"/>
    </row>
    <row r="16" spans="1:50" x14ac:dyDescent="0.4">
      <c r="A16" s="124">
        <f>IF(A15=2,4,IF(U16="床断熱",1,IF(U16="基礎断熱",2,3)))</f>
        <v>1</v>
      </c>
      <c r="B16" s="126" t="s">
        <v>221</v>
      </c>
      <c r="J16" s="303" t="s">
        <v>8</v>
      </c>
      <c r="K16" s="304"/>
      <c r="L16" s="304"/>
      <c r="M16" s="304"/>
      <c r="N16" s="304"/>
      <c r="O16" s="304"/>
      <c r="P16" s="304"/>
      <c r="Q16" s="304"/>
      <c r="R16" s="305"/>
      <c r="S16" s="94"/>
      <c r="T16" s="95"/>
      <c r="U16" s="293" t="s">
        <v>311</v>
      </c>
      <c r="V16" s="293"/>
      <c r="W16" s="293"/>
      <c r="X16" s="293"/>
      <c r="Y16" s="293"/>
      <c r="Z16" s="293"/>
      <c r="AA16" s="293"/>
      <c r="AB16" s="293"/>
      <c r="AC16" s="293"/>
      <c r="AD16" s="95"/>
      <c r="AE16" s="95"/>
      <c r="AF16" s="95"/>
      <c r="AG16" s="95"/>
      <c r="AH16" s="96"/>
      <c r="AS16"/>
      <c r="AT16"/>
      <c r="AU16"/>
      <c r="AV16"/>
      <c r="AW16"/>
      <c r="AX16"/>
    </row>
    <row r="17" spans="1:50" x14ac:dyDescent="0.4">
      <c r="AS17"/>
      <c r="AT17"/>
      <c r="AU17"/>
      <c r="AV17"/>
      <c r="AW17"/>
      <c r="AX17"/>
    </row>
    <row r="18" spans="1:50" ht="18.75" customHeight="1" thickBot="1" x14ac:dyDescent="0.45">
      <c r="J18" s="122" t="s">
        <v>110</v>
      </c>
      <c r="K18" s="97"/>
      <c r="L18" s="97"/>
      <c r="M18" s="97"/>
      <c r="N18" s="97"/>
      <c r="O18" s="97"/>
      <c r="P18" s="97"/>
      <c r="Q18" s="97"/>
      <c r="R18" s="97"/>
      <c r="S18" s="97"/>
      <c r="T18" s="97"/>
      <c r="U18" s="97"/>
      <c r="V18" s="97"/>
      <c r="W18" s="97"/>
      <c r="X18" s="97"/>
      <c r="Y18" s="97"/>
      <c r="Z18" s="97"/>
      <c r="AA18" s="97"/>
      <c r="AB18" s="97"/>
      <c r="AC18" s="97"/>
      <c r="AD18" s="97"/>
      <c r="AE18" s="97"/>
      <c r="AF18" s="97"/>
      <c r="AG18" s="97"/>
      <c r="AH18" s="117" t="s">
        <v>87</v>
      </c>
      <c r="AS18"/>
      <c r="AT18"/>
      <c r="AU18"/>
      <c r="AV18"/>
      <c r="AW18"/>
      <c r="AX18"/>
    </row>
    <row r="19" spans="1:50" ht="18.75" customHeight="1" x14ac:dyDescent="0.4">
      <c r="J19" s="306" t="s">
        <v>111</v>
      </c>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row>
    <row r="20" spans="1:50" ht="18.75" customHeight="1" x14ac:dyDescent="0.4">
      <c r="E20" s="125" t="s">
        <v>215</v>
      </c>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row>
    <row r="21" spans="1:50" ht="18.75" customHeight="1" thickBot="1" x14ac:dyDescent="0.4">
      <c r="E21" s="127" t="s">
        <v>216</v>
      </c>
      <c r="F21" s="127" t="s">
        <v>217</v>
      </c>
      <c r="G21" s="127" t="s">
        <v>218</v>
      </c>
      <c r="H21" s="127" t="s">
        <v>219</v>
      </c>
      <c r="T21" s="309" t="s">
        <v>123</v>
      </c>
      <c r="U21" s="309"/>
      <c r="V21" s="309"/>
      <c r="W21" s="309"/>
      <c r="Y21" s="310" t="s">
        <v>125</v>
      </c>
      <c r="Z21" s="310"/>
      <c r="AA21" s="310"/>
      <c r="AB21" s="310"/>
      <c r="AD21" s="291" t="s">
        <v>121</v>
      </c>
      <c r="AE21" s="291"/>
      <c r="AF21" s="291"/>
      <c r="AG21" s="291"/>
    </row>
    <row r="22" spans="1:50" ht="18.75" customHeight="1" x14ac:dyDescent="0.4">
      <c r="E22" s="128">
        <f>IF(Y22="",0,1)</f>
        <v>1</v>
      </c>
      <c r="F22" s="128">
        <f>IF(Y22="",0,1)</f>
        <v>1</v>
      </c>
      <c r="G22" s="128">
        <f>IF(Y22="",0,1)</f>
        <v>1</v>
      </c>
      <c r="H22" s="128">
        <f>IF(Y22="",0,1)</f>
        <v>1</v>
      </c>
      <c r="J22" s="297" t="s">
        <v>11</v>
      </c>
      <c r="K22" s="297"/>
      <c r="L22" s="297"/>
      <c r="M22" s="297"/>
      <c r="N22" s="297"/>
      <c r="O22" s="297"/>
      <c r="P22" s="297"/>
      <c r="Q22" s="297"/>
      <c r="R22" s="297"/>
      <c r="S22" s="297"/>
      <c r="T22" s="294">
        <f>HLOOKUP(A14,外皮係数の範囲リスト,2,FALSE)</f>
        <v>0.19400000000000001</v>
      </c>
      <c r="U22" s="295"/>
      <c r="V22" s="295"/>
      <c r="W22" s="296"/>
      <c r="X22" s="88" t="s">
        <v>122</v>
      </c>
      <c r="Y22" s="279">
        <v>0.56000000000000005</v>
      </c>
      <c r="Z22" s="280"/>
      <c r="AA22" s="280"/>
      <c r="AB22" s="281"/>
      <c r="AC22" s="98" t="s">
        <v>119</v>
      </c>
      <c r="AD22" s="288">
        <f>ROUNDUP(T22*Y22,3)</f>
        <v>0.109</v>
      </c>
      <c r="AE22" s="289"/>
      <c r="AF22" s="289"/>
      <c r="AG22" s="290"/>
      <c r="AH22" s="99" t="s">
        <v>112</v>
      </c>
    </row>
    <row r="23" spans="1:50" ht="18.75" customHeight="1" x14ac:dyDescent="0.4">
      <c r="E23" s="129">
        <f>IF(Y23="",0,1)</f>
        <v>1</v>
      </c>
      <c r="F23" s="129">
        <f t="shared" ref="F23:F24" si="0">IF(Y23="",0,1)</f>
        <v>1</v>
      </c>
      <c r="G23" s="129">
        <f t="shared" ref="G23:G24" si="1">IF(Y23="",0,1)</f>
        <v>1</v>
      </c>
      <c r="H23" s="129">
        <f t="shared" ref="H23:H26" si="2">IF(Y23="",0,1)</f>
        <v>1</v>
      </c>
      <c r="J23" s="319" t="s">
        <v>12</v>
      </c>
      <c r="K23" s="320"/>
      <c r="L23" s="320"/>
      <c r="M23" s="297" t="s">
        <v>13</v>
      </c>
      <c r="N23" s="297"/>
      <c r="O23" s="297"/>
      <c r="P23" s="297"/>
      <c r="Q23" s="297"/>
      <c r="R23" s="297"/>
      <c r="S23" s="297"/>
      <c r="T23" s="294">
        <f>HLOOKUP(A14,外皮係数の範囲リスト,3,FALSE)</f>
        <v>0.48899999999999999</v>
      </c>
      <c r="U23" s="295"/>
      <c r="V23" s="295"/>
      <c r="W23" s="296"/>
      <c r="X23" s="88" t="s">
        <v>122</v>
      </c>
      <c r="Y23" s="282">
        <v>0.45</v>
      </c>
      <c r="Z23" s="283"/>
      <c r="AA23" s="283"/>
      <c r="AB23" s="284"/>
      <c r="AC23" s="98" t="s">
        <v>119</v>
      </c>
      <c r="AD23" s="288">
        <f>ROUNDUP(T23*Y23,3)</f>
        <v>0.221</v>
      </c>
      <c r="AE23" s="289"/>
      <c r="AF23" s="289"/>
      <c r="AG23" s="290"/>
      <c r="AH23" s="99" t="s">
        <v>127</v>
      </c>
    </row>
    <row r="24" spans="1:50" ht="18.75" customHeight="1" x14ac:dyDescent="0.4">
      <c r="E24" s="129">
        <f>IF(Y24="",0,1)</f>
        <v>1</v>
      </c>
      <c r="F24" s="129">
        <f t="shared" si="0"/>
        <v>1</v>
      </c>
      <c r="G24" s="129">
        <f t="shared" si="1"/>
        <v>1</v>
      </c>
      <c r="H24" s="129">
        <f t="shared" si="2"/>
        <v>1</v>
      </c>
      <c r="J24" s="321"/>
      <c r="K24" s="322"/>
      <c r="L24" s="322"/>
      <c r="M24" s="297" t="s">
        <v>14</v>
      </c>
      <c r="N24" s="297"/>
      <c r="O24" s="297"/>
      <c r="P24" s="297"/>
      <c r="Q24" s="297"/>
      <c r="R24" s="297"/>
      <c r="S24" s="297"/>
      <c r="T24" s="294">
        <f>HLOOKUP(A14,外皮係数の範囲リスト,4,FALSE)</f>
        <v>4.0000000000000001E-3</v>
      </c>
      <c r="U24" s="295"/>
      <c r="V24" s="295"/>
      <c r="W24" s="296"/>
      <c r="X24" s="88" t="s">
        <v>122</v>
      </c>
      <c r="Y24" s="282">
        <v>0.38</v>
      </c>
      <c r="Z24" s="283"/>
      <c r="AA24" s="283"/>
      <c r="AB24" s="284"/>
      <c r="AC24" s="98" t="s">
        <v>119</v>
      </c>
      <c r="AD24" s="288">
        <f t="shared" ref="AD24:AD29" si="3">ROUNDUP(T24*Y24,3)</f>
        <v>2E-3</v>
      </c>
      <c r="AE24" s="289"/>
      <c r="AF24" s="289"/>
      <c r="AG24" s="290"/>
      <c r="AH24" s="99" t="s">
        <v>113</v>
      </c>
    </row>
    <row r="25" spans="1:50" ht="18.75" customHeight="1" x14ac:dyDescent="0.4">
      <c r="E25" s="129"/>
      <c r="F25" s="129">
        <f>IF(Y25="",0,1)</f>
        <v>1</v>
      </c>
      <c r="G25" s="129"/>
      <c r="H25" s="129">
        <f t="shared" si="2"/>
        <v>1</v>
      </c>
      <c r="J25" s="323"/>
      <c r="K25" s="324"/>
      <c r="L25" s="324"/>
      <c r="M25" s="314" t="str">
        <f>IF(OR(AH3=1,AH3=3),"ー",IF(AH3=2,"基礎壁（浴室）",IF(AH3=4,"基礎壁（浴室・その他）","")))</f>
        <v>ー</v>
      </c>
      <c r="N25" s="314"/>
      <c r="O25" s="314"/>
      <c r="P25" s="314"/>
      <c r="Q25" s="314"/>
      <c r="R25" s="314"/>
      <c r="S25" s="314"/>
      <c r="T25" s="294">
        <f>HLOOKUP(A14,外皮係数の範囲リスト,5,FALSE)</f>
        <v>0</v>
      </c>
      <c r="U25" s="295"/>
      <c r="V25" s="295"/>
      <c r="W25" s="296"/>
      <c r="X25" s="88" t="s">
        <v>122</v>
      </c>
      <c r="Y25" s="282">
        <v>0.6</v>
      </c>
      <c r="Z25" s="283"/>
      <c r="AA25" s="283"/>
      <c r="AB25" s="284"/>
      <c r="AC25" s="98" t="s">
        <v>119</v>
      </c>
      <c r="AD25" s="288">
        <f t="shared" si="3"/>
        <v>0</v>
      </c>
      <c r="AE25" s="289"/>
      <c r="AF25" s="289"/>
      <c r="AG25" s="290"/>
      <c r="AH25" s="99" t="s">
        <v>114</v>
      </c>
    </row>
    <row r="26" spans="1:50" ht="18.75" customHeight="1" x14ac:dyDescent="0.4">
      <c r="E26" s="129">
        <f t="shared" ref="E26:E27" si="4">IF(Y26="",0,1)</f>
        <v>1</v>
      </c>
      <c r="F26" s="129">
        <f>IF(Y26="",0,1)</f>
        <v>1</v>
      </c>
      <c r="G26" s="129"/>
      <c r="H26" s="129">
        <f t="shared" si="2"/>
        <v>1</v>
      </c>
      <c r="J26" s="319" t="s">
        <v>15</v>
      </c>
      <c r="K26" s="320"/>
      <c r="L26" s="325"/>
      <c r="M26" s="327" t="str">
        <f>IF(AH3=1,"浴室",IF(OR(AH3=2,AH3=3),"ー",IF(AH3=4,"ー","")))</f>
        <v>浴室</v>
      </c>
      <c r="N26" s="328"/>
      <c r="O26" s="328"/>
      <c r="P26" s="328"/>
      <c r="Q26" s="328"/>
      <c r="R26" s="328"/>
      <c r="S26" s="329"/>
      <c r="T26" s="294">
        <f>HLOOKUP(A14,外皮係数の範囲リスト,6,FALSE)</f>
        <v>8.9999999999999993E-3</v>
      </c>
      <c r="U26" s="295"/>
      <c r="V26" s="295"/>
      <c r="W26" s="296"/>
      <c r="X26" s="88" t="s">
        <v>122</v>
      </c>
      <c r="Y26" s="282">
        <v>0.45</v>
      </c>
      <c r="Z26" s="283"/>
      <c r="AA26" s="283"/>
      <c r="AB26" s="284"/>
      <c r="AC26" s="98" t="s">
        <v>119</v>
      </c>
      <c r="AD26" s="288">
        <f t="shared" si="3"/>
        <v>5.0000000000000001E-3</v>
      </c>
      <c r="AE26" s="289"/>
      <c r="AF26" s="289"/>
      <c r="AG26" s="290"/>
      <c r="AH26" s="99" t="s">
        <v>115</v>
      </c>
    </row>
    <row r="27" spans="1:50" ht="18.75" customHeight="1" x14ac:dyDescent="0.4">
      <c r="E27" s="129">
        <f t="shared" si="4"/>
        <v>1</v>
      </c>
      <c r="F27" s="129">
        <f>IF(Y27="",0,1)</f>
        <v>1</v>
      </c>
      <c r="G27" s="129">
        <f>IF(Y27="",0,1)</f>
        <v>1</v>
      </c>
      <c r="H27" s="129"/>
      <c r="J27" s="323"/>
      <c r="K27" s="324"/>
      <c r="L27" s="326"/>
      <c r="M27" s="327" t="str">
        <f>IF(AH3=4,"ー","その他の床")</f>
        <v>その他の床</v>
      </c>
      <c r="N27" s="328"/>
      <c r="O27" s="328"/>
      <c r="P27" s="328"/>
      <c r="Q27" s="328"/>
      <c r="R27" s="328"/>
      <c r="S27" s="329"/>
      <c r="T27" s="294">
        <f>HLOOKUP(A14,外皮係数の範囲リスト,7,FALSE)</f>
        <v>0.121</v>
      </c>
      <c r="U27" s="295"/>
      <c r="V27" s="295"/>
      <c r="W27" s="296"/>
      <c r="X27" s="88" t="s">
        <v>122</v>
      </c>
      <c r="Y27" s="282">
        <v>0.25</v>
      </c>
      <c r="Z27" s="283"/>
      <c r="AA27" s="283"/>
      <c r="AB27" s="284"/>
      <c r="AC27" s="98" t="s">
        <v>119</v>
      </c>
      <c r="AD27" s="288">
        <f t="shared" si="3"/>
        <v>3.1E-2</v>
      </c>
      <c r="AE27" s="289"/>
      <c r="AF27" s="289"/>
      <c r="AG27" s="290"/>
      <c r="AH27" s="99" t="s">
        <v>116</v>
      </c>
    </row>
    <row r="28" spans="1:50" ht="18.75" customHeight="1" x14ac:dyDescent="0.4">
      <c r="E28" s="129">
        <f>IF(Y28="",0,1)</f>
        <v>1</v>
      </c>
      <c r="F28" s="129">
        <f t="shared" ref="F28:F29" si="5">IF(Y28="",0,1)</f>
        <v>1</v>
      </c>
      <c r="G28" s="129">
        <f t="shared" ref="G28:G29" si="6">IF(Y28="",0,1)</f>
        <v>1</v>
      </c>
      <c r="H28" s="129">
        <f t="shared" ref="H28:H29" si="7">IF(Y28="",0,1)</f>
        <v>1</v>
      </c>
      <c r="J28" s="297" t="s">
        <v>18</v>
      </c>
      <c r="K28" s="297"/>
      <c r="L28" s="297"/>
      <c r="M28" s="297"/>
      <c r="N28" s="297"/>
      <c r="O28" s="297"/>
      <c r="P28" s="297"/>
      <c r="Q28" s="297"/>
      <c r="R28" s="297"/>
      <c r="S28" s="297"/>
      <c r="T28" s="294">
        <f>HLOOKUP(A14,外皮係数の範囲リスト,8,FALSE)</f>
        <v>0.107</v>
      </c>
      <c r="U28" s="295"/>
      <c r="V28" s="295"/>
      <c r="W28" s="296"/>
      <c r="X28" s="88" t="s">
        <v>122</v>
      </c>
      <c r="Y28" s="282">
        <v>1.88</v>
      </c>
      <c r="Z28" s="283"/>
      <c r="AA28" s="283"/>
      <c r="AB28" s="284"/>
      <c r="AC28" s="98" t="s">
        <v>119</v>
      </c>
      <c r="AD28" s="288">
        <f t="shared" si="3"/>
        <v>0.20200000000000001</v>
      </c>
      <c r="AE28" s="289"/>
      <c r="AF28" s="289"/>
      <c r="AG28" s="290"/>
      <c r="AH28" s="99" t="s">
        <v>117</v>
      </c>
    </row>
    <row r="29" spans="1:50" ht="18.75" customHeight="1" thickBot="1" x14ac:dyDescent="0.45">
      <c r="E29" s="129">
        <f>IF(Y29="",0,1)</f>
        <v>1</v>
      </c>
      <c r="F29" s="129">
        <f t="shared" si="5"/>
        <v>1</v>
      </c>
      <c r="G29" s="129">
        <f t="shared" si="6"/>
        <v>1</v>
      </c>
      <c r="H29" s="129">
        <f t="shared" si="7"/>
        <v>1</v>
      </c>
      <c r="J29" s="297" t="s">
        <v>19</v>
      </c>
      <c r="K29" s="297"/>
      <c r="L29" s="297"/>
      <c r="M29" s="297"/>
      <c r="N29" s="297"/>
      <c r="O29" s="297"/>
      <c r="P29" s="297"/>
      <c r="Q29" s="297"/>
      <c r="R29" s="297"/>
      <c r="S29" s="297"/>
      <c r="T29" s="294">
        <f>HLOOKUP(A14,外皮係数の範囲リスト,9,FALSE)</f>
        <v>1.4E-2</v>
      </c>
      <c r="U29" s="295"/>
      <c r="V29" s="295"/>
      <c r="W29" s="296"/>
      <c r="X29" s="88" t="s">
        <v>122</v>
      </c>
      <c r="Y29" s="285">
        <v>1.88</v>
      </c>
      <c r="Z29" s="286"/>
      <c r="AA29" s="286"/>
      <c r="AB29" s="287"/>
      <c r="AC29" s="98" t="s">
        <v>119</v>
      </c>
      <c r="AD29" s="288">
        <f t="shared" si="3"/>
        <v>2.7E-2</v>
      </c>
      <c r="AE29" s="289"/>
      <c r="AF29" s="289"/>
      <c r="AG29" s="290"/>
      <c r="AH29" s="99" t="s">
        <v>118</v>
      </c>
    </row>
    <row r="30" spans="1:50" ht="18.75" customHeight="1" x14ac:dyDescent="0.4">
      <c r="E30" s="130"/>
      <c r="F30" s="130"/>
      <c r="G30" s="130"/>
      <c r="H30" s="130"/>
      <c r="AC30" s="275" t="s">
        <v>120</v>
      </c>
      <c r="AD30" s="275"/>
      <c r="AE30" s="275"/>
      <c r="AF30" s="275"/>
      <c r="AG30" s="275"/>
      <c r="AH30" s="275"/>
    </row>
    <row r="31" spans="1:50" ht="18.75" customHeight="1" thickBot="1" x14ac:dyDescent="0.4">
      <c r="A31" s="124" t="s">
        <v>206</v>
      </c>
      <c r="E31" s="130"/>
      <c r="F31" s="130"/>
      <c r="G31" s="130"/>
      <c r="H31" s="130"/>
      <c r="T31" s="309" t="s">
        <v>123</v>
      </c>
      <c r="U31" s="309"/>
      <c r="V31" s="309"/>
      <c r="W31" s="309"/>
      <c r="Y31" s="291" t="s">
        <v>124</v>
      </c>
      <c r="Z31" s="291"/>
      <c r="AA31" s="291"/>
      <c r="AB31" s="291"/>
      <c r="AD31" s="291" t="s">
        <v>121</v>
      </c>
      <c r="AE31" s="291"/>
      <c r="AF31" s="291"/>
      <c r="AG31" s="291"/>
      <c r="AH31" s="100"/>
    </row>
    <row r="32" spans="1:50" ht="18.75" customHeight="1" x14ac:dyDescent="0.4">
      <c r="A32" s="131" t="s">
        <v>213</v>
      </c>
      <c r="B32" s="132">
        <f>A14</f>
        <v>4</v>
      </c>
      <c r="C32" s="133"/>
      <c r="D32" s="133"/>
      <c r="E32" s="129">
        <f>IF(Y32="",0,1)</f>
        <v>1</v>
      </c>
      <c r="F32" s="129">
        <f t="shared" ref="F32:F33" si="8">IF(Y32="",0,1)</f>
        <v>1</v>
      </c>
      <c r="G32" s="129">
        <f>IF(Y32="",0,1)</f>
        <v>1</v>
      </c>
      <c r="H32" s="129">
        <f>IF(Y32="",0,1)</f>
        <v>1</v>
      </c>
      <c r="J32" s="330" t="s">
        <v>20</v>
      </c>
      <c r="K32" s="331"/>
      <c r="L32" s="331"/>
      <c r="M32" s="331"/>
      <c r="N32" s="332"/>
      <c r="O32" s="298" t="s">
        <v>21</v>
      </c>
      <c r="P32" s="298"/>
      <c r="Q32" s="298"/>
      <c r="R32" s="298"/>
      <c r="S32" s="298"/>
      <c r="T32" s="294">
        <f>HLOOKUP(A14,外皮係数の範囲リスト,10,FALSE)</f>
        <v>2.1000000000000001E-2</v>
      </c>
      <c r="U32" s="295"/>
      <c r="V32" s="295"/>
      <c r="W32" s="296"/>
      <c r="X32" s="88" t="s">
        <v>122</v>
      </c>
      <c r="Y32" s="279">
        <v>1.8</v>
      </c>
      <c r="Z32" s="280"/>
      <c r="AA32" s="280"/>
      <c r="AB32" s="281"/>
      <c r="AC32" s="98" t="s">
        <v>119</v>
      </c>
      <c r="AD32" s="288">
        <f t="shared" ref="AD32" si="9">ROUNDUP(T32*Y32,3)</f>
        <v>3.7999999999999999E-2</v>
      </c>
      <c r="AE32" s="289"/>
      <c r="AF32" s="289"/>
      <c r="AG32" s="290"/>
      <c r="AH32" s="99" t="s">
        <v>179</v>
      </c>
    </row>
    <row r="33" spans="1:50" ht="18.75" customHeight="1" thickBot="1" x14ac:dyDescent="0.45">
      <c r="A33" s="131" t="s">
        <v>212</v>
      </c>
      <c r="B33" s="131" t="s">
        <v>205</v>
      </c>
      <c r="C33" s="131" t="s">
        <v>203</v>
      </c>
      <c r="D33" s="132" t="s">
        <v>204</v>
      </c>
      <c r="E33" s="130"/>
      <c r="F33" s="129">
        <f t="shared" si="8"/>
        <v>1</v>
      </c>
      <c r="G33" s="130"/>
      <c r="H33" s="129">
        <f t="shared" ref="H33" si="10">IF(Y33="",0,1)</f>
        <v>1</v>
      </c>
      <c r="J33" s="333"/>
      <c r="K33" s="334"/>
      <c r="L33" s="334"/>
      <c r="M33" s="334"/>
      <c r="N33" s="335"/>
      <c r="O33" s="298" t="str">
        <f>IF(AH3=4,"浴室・その他",IF(AH3=2,"浴室","ー"))</f>
        <v>ー</v>
      </c>
      <c r="P33" s="298"/>
      <c r="Q33" s="298"/>
      <c r="R33" s="298"/>
      <c r="S33" s="298"/>
      <c r="T33" s="294">
        <f>HLOOKUP(A14,外皮係数の範囲リスト,11,FALSE)</f>
        <v>0</v>
      </c>
      <c r="U33" s="295"/>
      <c r="V33" s="295"/>
      <c r="W33" s="296"/>
      <c r="X33" s="88" t="s">
        <v>122</v>
      </c>
      <c r="Y33" s="285">
        <v>1.8</v>
      </c>
      <c r="Z33" s="286"/>
      <c r="AA33" s="286"/>
      <c r="AB33" s="287"/>
      <c r="AC33" s="98" t="s">
        <v>119</v>
      </c>
      <c r="AD33" s="288">
        <f>ROUNDUP(T33*Y33,3)</f>
        <v>0</v>
      </c>
      <c r="AE33" s="289"/>
      <c r="AF33" s="289"/>
      <c r="AG33" s="290"/>
      <c r="AH33" s="99" t="s">
        <v>180</v>
      </c>
    </row>
    <row r="34" spans="1:50" ht="18.75" customHeight="1" thickBot="1" x14ac:dyDescent="0.45">
      <c r="A34" s="131">
        <v>4</v>
      </c>
      <c r="B34" s="131">
        <v>0.75</v>
      </c>
      <c r="C34" s="131" t="s">
        <v>202</v>
      </c>
      <c r="D34" s="132" t="s">
        <v>202</v>
      </c>
      <c r="E34" s="130"/>
      <c r="F34" s="130"/>
      <c r="G34" s="130"/>
      <c r="H34" s="130"/>
      <c r="AC34" s="275" t="s">
        <v>120</v>
      </c>
      <c r="AD34" s="275"/>
      <c r="AE34" s="275"/>
      <c r="AF34" s="275"/>
      <c r="AG34" s="275"/>
      <c r="AH34" s="275"/>
    </row>
    <row r="35" spans="1:50" ht="18.75" customHeight="1" thickTop="1" thickBot="1" x14ac:dyDescent="0.45">
      <c r="A35" s="131">
        <v>5</v>
      </c>
      <c r="B35" s="131">
        <v>0.87</v>
      </c>
      <c r="C35" s="131">
        <v>3</v>
      </c>
      <c r="D35" s="132" t="s">
        <v>202</v>
      </c>
      <c r="E35" s="130"/>
      <c r="F35" s="130"/>
      <c r="G35" s="130"/>
      <c r="H35" s="130"/>
      <c r="J35" s="103" t="s">
        <v>185</v>
      </c>
      <c r="Y35" s="103"/>
      <c r="AB35" s="104" t="s">
        <v>200</v>
      </c>
      <c r="AC35" s="105" t="s">
        <v>119</v>
      </c>
      <c r="AD35" s="276">
        <f>ROUNDUP(SUM(AD32:AG33)+SUM(AD22:AG29),2)</f>
        <v>0.64</v>
      </c>
      <c r="AE35" s="277"/>
      <c r="AF35" s="277"/>
      <c r="AG35" s="278"/>
    </row>
    <row r="36" spans="1:50" ht="18.75" customHeight="1" thickTop="1" x14ac:dyDescent="0.4">
      <c r="A36" s="131">
        <v>6</v>
      </c>
      <c r="B36" s="131">
        <v>0.87</v>
      </c>
      <c r="C36" s="131">
        <v>2.8</v>
      </c>
      <c r="D36" s="132" t="s">
        <v>202</v>
      </c>
      <c r="E36" s="130"/>
      <c r="F36" s="130"/>
      <c r="G36" s="130"/>
      <c r="H36" s="130"/>
      <c r="Q36" s="103"/>
      <c r="AH36" s="118" t="s">
        <v>208</v>
      </c>
    </row>
    <row r="37" spans="1:50" ht="18.75" customHeight="1" thickBot="1" x14ac:dyDescent="0.4">
      <c r="A37" s="131">
        <v>7</v>
      </c>
      <c r="B37" s="131">
        <v>0.87</v>
      </c>
      <c r="C37" s="131">
        <v>2.7</v>
      </c>
      <c r="D37" s="132" t="s">
        <v>202</v>
      </c>
      <c r="E37" s="130"/>
      <c r="F37" s="134"/>
      <c r="G37" s="130"/>
      <c r="H37" s="130"/>
      <c r="L37" s="309" t="s">
        <v>210</v>
      </c>
      <c r="M37" s="336"/>
      <c r="N37" s="336"/>
      <c r="O37" s="336"/>
      <c r="U37" s="291" t="s">
        <v>211</v>
      </c>
      <c r="V37" s="291"/>
      <c r="W37" s="291"/>
      <c r="X37" s="291"/>
      <c r="Z37" s="121"/>
      <c r="AA37" s="121"/>
      <c r="AB37" s="121"/>
      <c r="AC37" s="103"/>
      <c r="AD37" s="103"/>
      <c r="AE37" s="103"/>
      <c r="AF37" s="103"/>
      <c r="AG37" s="103"/>
    </row>
    <row r="38" spans="1:50" ht="18.75" customHeight="1" thickTop="1" thickBot="1" x14ac:dyDescent="0.45">
      <c r="A38" s="131"/>
      <c r="B38" s="131"/>
      <c r="C38" s="131"/>
      <c r="D38" s="132"/>
      <c r="E38" s="135">
        <f>SUM(E22:E37)</f>
        <v>8</v>
      </c>
      <c r="F38" s="135">
        <f>SUM(F22:F37)</f>
        <v>10</v>
      </c>
      <c r="G38" s="135">
        <f>SUM(G22:G37)</f>
        <v>7</v>
      </c>
      <c r="H38" s="135">
        <f>SUM(H22:H37)</f>
        <v>9</v>
      </c>
      <c r="K38" s="101"/>
      <c r="L38" s="340">
        <f>VLOOKUP(B32,A34:D37,2,FALSE)</f>
        <v>0.75</v>
      </c>
      <c r="M38" s="340"/>
      <c r="N38" s="340"/>
      <c r="O38" s="340"/>
      <c r="P38" s="88" t="s">
        <v>207</v>
      </c>
      <c r="T38" s="103" t="s">
        <v>226</v>
      </c>
      <c r="U38" s="341">
        <f>AD35</f>
        <v>0.64</v>
      </c>
      <c r="V38" s="342"/>
      <c r="W38" s="342"/>
      <c r="X38" s="343"/>
      <c r="Y38" s="88" t="s">
        <v>207</v>
      </c>
      <c r="Z38" s="121"/>
      <c r="AA38" s="121"/>
      <c r="AB38" s="121"/>
      <c r="AC38" s="103"/>
      <c r="AD38" s="344" t="str">
        <f>IF(E42=1,IF(L38&gt;=U38,"適合","不適合"),"ー")</f>
        <v>適合</v>
      </c>
      <c r="AE38" s="345"/>
      <c r="AF38" s="345"/>
      <c r="AG38" s="346"/>
    </row>
    <row r="39" spans="1:50" ht="18.75" customHeight="1" thickTop="1" x14ac:dyDescent="0.4">
      <c r="E39" s="136" t="s">
        <v>220</v>
      </c>
      <c r="F39" s="136" t="s">
        <v>223</v>
      </c>
      <c r="G39" s="136" t="s">
        <v>224</v>
      </c>
      <c r="H39" s="136" t="s">
        <v>225</v>
      </c>
      <c r="AH39" s="88" t="s">
        <v>126</v>
      </c>
    </row>
    <row r="40" spans="1:50" x14ac:dyDescent="0.4">
      <c r="E40" s="136">
        <f>IF(E38&gt;=8,1,0)</f>
        <v>1</v>
      </c>
      <c r="F40" s="136">
        <f>IF(F38&gt;=9,1,0)</f>
        <v>1</v>
      </c>
      <c r="G40" s="136">
        <f>IF(G38&gt;=7,1,0)</f>
        <v>1</v>
      </c>
      <c r="H40" s="136">
        <f>IF(H38&gt;=8,1,0)</f>
        <v>1</v>
      </c>
      <c r="AD40" s="261" t="s">
        <v>84</v>
      </c>
      <c r="AE40" s="262"/>
      <c r="AF40" s="262"/>
      <c r="AG40" s="262"/>
      <c r="AH40" s="262"/>
    </row>
    <row r="41" spans="1:50" x14ac:dyDescent="0.4">
      <c r="E41" s="136">
        <f>IF(AND(A16=1,E40=1),1,0)</f>
        <v>1</v>
      </c>
      <c r="F41" s="136">
        <f>IF(AND(A16=2,F40=1),1,0)</f>
        <v>0</v>
      </c>
      <c r="G41" s="136">
        <f>IF(AND(A16=3,G40=1),1,0)</f>
        <v>0</v>
      </c>
      <c r="H41" s="136">
        <f>IF(AND(A16=4,H40=1),1,0)</f>
        <v>0</v>
      </c>
      <c r="AH41" s="91">
        <v>2</v>
      </c>
    </row>
    <row r="42" spans="1:50" x14ac:dyDescent="0.4">
      <c r="E42" s="137">
        <f>SUM(E41:H41)</f>
        <v>1</v>
      </c>
      <c r="F42" s="138"/>
      <c r="G42" s="138"/>
      <c r="H42" s="139"/>
      <c r="AD42" s="89" t="s">
        <v>106</v>
      </c>
      <c r="AE42" s="90">
        <f>AE3</f>
        <v>4</v>
      </c>
      <c r="AF42" s="263" t="s">
        <v>108</v>
      </c>
      <c r="AG42" s="263"/>
      <c r="AH42" s="90">
        <f>AH3</f>
        <v>1</v>
      </c>
    </row>
    <row r="43" spans="1:50" ht="18.75" customHeight="1" thickBot="1" x14ac:dyDescent="0.45">
      <c r="J43" s="122" t="s">
        <v>176</v>
      </c>
      <c r="K43" s="97"/>
      <c r="L43" s="97"/>
      <c r="M43" s="97"/>
      <c r="N43" s="97"/>
      <c r="O43" s="97"/>
      <c r="P43" s="97"/>
      <c r="Q43" s="97"/>
      <c r="R43" s="97"/>
      <c r="S43" s="97"/>
      <c r="T43" s="97"/>
      <c r="U43" s="97"/>
      <c r="V43" s="97"/>
      <c r="W43" s="97"/>
      <c r="X43" s="97"/>
      <c r="Y43" s="97"/>
      <c r="Z43" s="97"/>
      <c r="AA43" s="97"/>
      <c r="AB43" s="97"/>
      <c r="AC43" s="97"/>
      <c r="AD43" s="97"/>
      <c r="AE43" s="97"/>
      <c r="AF43" s="97"/>
      <c r="AG43" s="97"/>
      <c r="AH43" s="117" t="s">
        <v>87</v>
      </c>
      <c r="AS43"/>
      <c r="AT43"/>
      <c r="AU43"/>
      <c r="AV43"/>
      <c r="AW43"/>
      <c r="AX43"/>
    </row>
    <row r="44" spans="1:50" ht="18.75" customHeight="1" x14ac:dyDescent="0.4">
      <c r="J44" s="306" t="s">
        <v>177</v>
      </c>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row>
    <row r="45" spans="1:50" ht="18.75" customHeight="1" x14ac:dyDescent="0.4">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row>
    <row r="46" spans="1:50" ht="18.75" customHeight="1" x14ac:dyDescent="0.35">
      <c r="E46" s="140"/>
      <c r="F46" s="140"/>
      <c r="G46" s="140"/>
      <c r="H46" s="140"/>
      <c r="T46" s="309" t="s">
        <v>123</v>
      </c>
      <c r="U46" s="309"/>
      <c r="V46" s="309"/>
      <c r="W46" s="309"/>
      <c r="Y46" s="291" t="s">
        <v>125</v>
      </c>
      <c r="Z46" s="291"/>
      <c r="AA46" s="291"/>
      <c r="AB46" s="291"/>
      <c r="AE46" s="291" t="s">
        <v>121</v>
      </c>
      <c r="AF46" s="291"/>
    </row>
    <row r="47" spans="1:50" ht="18.75" customHeight="1" x14ac:dyDescent="0.4">
      <c r="E47" s="140"/>
      <c r="F47" s="140"/>
      <c r="G47" s="140"/>
      <c r="H47" s="140"/>
      <c r="J47" s="297" t="s">
        <v>11</v>
      </c>
      <c r="K47" s="297"/>
      <c r="L47" s="297"/>
      <c r="M47" s="297"/>
      <c r="N47" s="297"/>
      <c r="O47" s="297"/>
      <c r="P47" s="297"/>
      <c r="Q47" s="297"/>
      <c r="R47" s="297"/>
      <c r="S47" s="297"/>
      <c r="T47" s="294">
        <f>HLOOKUP(A14,外皮係数の範囲リスト,12,FALSE)</f>
        <v>0.65900000000000003</v>
      </c>
      <c r="U47" s="295"/>
      <c r="V47" s="295"/>
      <c r="W47" s="296"/>
      <c r="X47" s="88" t="s">
        <v>122</v>
      </c>
      <c r="Y47" s="311">
        <f>Y22</f>
        <v>0.56000000000000005</v>
      </c>
      <c r="Z47" s="312"/>
      <c r="AA47" s="312"/>
      <c r="AB47" s="313"/>
      <c r="AC47" s="98" t="s">
        <v>119</v>
      </c>
      <c r="AD47" s="288">
        <f>ROUNDUP(T47*Y47,3)</f>
        <v>0.37</v>
      </c>
      <c r="AE47" s="289"/>
      <c r="AF47" s="289"/>
      <c r="AG47" s="290"/>
      <c r="AH47" s="99" t="s">
        <v>181</v>
      </c>
    </row>
    <row r="48" spans="1:50" ht="18.75" customHeight="1" x14ac:dyDescent="0.4">
      <c r="E48" s="140"/>
      <c r="F48" s="140"/>
      <c r="G48" s="140"/>
      <c r="H48" s="140"/>
      <c r="J48" s="297" t="s">
        <v>12</v>
      </c>
      <c r="K48" s="297"/>
      <c r="L48" s="297"/>
      <c r="M48" s="297" t="s">
        <v>13</v>
      </c>
      <c r="N48" s="297"/>
      <c r="O48" s="297"/>
      <c r="P48" s="297"/>
      <c r="Q48" s="297"/>
      <c r="R48" s="297"/>
      <c r="S48" s="297"/>
      <c r="T48" s="294">
        <f>HLOOKUP(A14,外皮係数の範囲リスト,13,FALSE)</f>
        <v>0.75</v>
      </c>
      <c r="U48" s="295"/>
      <c r="V48" s="295"/>
      <c r="W48" s="296"/>
      <c r="X48" s="88" t="s">
        <v>122</v>
      </c>
      <c r="Y48" s="311">
        <f>Y23</f>
        <v>0.45</v>
      </c>
      <c r="Z48" s="312"/>
      <c r="AA48" s="312"/>
      <c r="AB48" s="313"/>
      <c r="AC48" s="98" t="s">
        <v>119</v>
      </c>
      <c r="AD48" s="288">
        <f t="shared" ref="AD48:AD50" si="11">ROUNDUP(T48*Y48,3)</f>
        <v>0.33800000000000002</v>
      </c>
      <c r="AE48" s="289"/>
      <c r="AF48" s="289"/>
      <c r="AG48" s="290"/>
      <c r="AH48" s="99" t="s">
        <v>182</v>
      </c>
    </row>
    <row r="49" spans="5:50" ht="18.75" customHeight="1" x14ac:dyDescent="0.4">
      <c r="E49" s="140"/>
      <c r="F49" s="140"/>
      <c r="G49" s="140"/>
      <c r="H49" s="140"/>
      <c r="J49" s="297"/>
      <c r="K49" s="297"/>
      <c r="L49" s="297"/>
      <c r="M49" s="297" t="s">
        <v>14</v>
      </c>
      <c r="N49" s="297"/>
      <c r="O49" s="297"/>
      <c r="P49" s="297"/>
      <c r="Q49" s="297"/>
      <c r="R49" s="297"/>
      <c r="S49" s="297"/>
      <c r="T49" s="294">
        <f>HLOOKUP(A14,外皮係数の範囲リスト,14,FALSE)</f>
        <v>4.0000000000000001E-3</v>
      </c>
      <c r="U49" s="295"/>
      <c r="V49" s="295"/>
      <c r="W49" s="296"/>
      <c r="X49" s="88" t="s">
        <v>122</v>
      </c>
      <c r="Y49" s="311">
        <f>Y24</f>
        <v>0.38</v>
      </c>
      <c r="Z49" s="312"/>
      <c r="AA49" s="312"/>
      <c r="AB49" s="313"/>
      <c r="AC49" s="98" t="s">
        <v>119</v>
      </c>
      <c r="AD49" s="288">
        <f t="shared" si="11"/>
        <v>2E-3</v>
      </c>
      <c r="AE49" s="289"/>
      <c r="AF49" s="289"/>
      <c r="AG49" s="290"/>
      <c r="AH49" s="99" t="s">
        <v>183</v>
      </c>
    </row>
    <row r="50" spans="5:50" ht="18.75" customHeight="1" x14ac:dyDescent="0.4">
      <c r="E50" s="140"/>
      <c r="F50" s="140"/>
      <c r="G50" s="140"/>
      <c r="H50" s="140"/>
      <c r="J50" s="297"/>
      <c r="K50" s="297"/>
      <c r="L50" s="297"/>
      <c r="M50" s="314" t="str">
        <f>IF(AH3=3,"ー",IF(AH3=4,"基礎壁（浴室・その他）",IF(AH3=2,"基礎壁（浴室）","ー")))</f>
        <v>ー</v>
      </c>
      <c r="N50" s="314"/>
      <c r="O50" s="314"/>
      <c r="P50" s="314"/>
      <c r="Q50" s="314"/>
      <c r="R50" s="314"/>
      <c r="S50" s="314"/>
      <c r="T50" s="294">
        <f>HLOOKUP(A14,外皮係数の範囲リスト,15,FALSE)</f>
        <v>0</v>
      </c>
      <c r="U50" s="295"/>
      <c r="V50" s="295"/>
      <c r="W50" s="296"/>
      <c r="X50" s="88" t="s">
        <v>122</v>
      </c>
      <c r="Y50" s="311">
        <f>Y25</f>
        <v>0.6</v>
      </c>
      <c r="Z50" s="312"/>
      <c r="AA50" s="312"/>
      <c r="AB50" s="313"/>
      <c r="AC50" s="98" t="s">
        <v>119</v>
      </c>
      <c r="AD50" s="288">
        <f t="shared" si="11"/>
        <v>0</v>
      </c>
      <c r="AE50" s="289"/>
      <c r="AF50" s="289"/>
      <c r="AG50" s="290"/>
      <c r="AH50" s="99" t="s">
        <v>190</v>
      </c>
    </row>
    <row r="51" spans="5:50" ht="18.75" customHeight="1" x14ac:dyDescent="0.4">
      <c r="E51" s="140"/>
      <c r="F51" s="140"/>
      <c r="G51" s="140"/>
      <c r="H51" s="140"/>
      <c r="J51" s="297" t="s">
        <v>19</v>
      </c>
      <c r="K51" s="297"/>
      <c r="L51" s="297"/>
      <c r="M51" s="297"/>
      <c r="N51" s="297"/>
      <c r="O51" s="297"/>
      <c r="P51" s="297"/>
      <c r="Q51" s="297"/>
      <c r="R51" s="297"/>
      <c r="S51" s="297"/>
      <c r="T51" s="294">
        <f>HLOOKUP(A14,外皮係数の範囲リスト,16,FALSE)</f>
        <v>1.9E-2</v>
      </c>
      <c r="U51" s="295"/>
      <c r="V51" s="295"/>
      <c r="W51" s="296"/>
      <c r="X51" s="88" t="s">
        <v>122</v>
      </c>
      <c r="Y51" s="311">
        <f>Y29</f>
        <v>1.88</v>
      </c>
      <c r="Z51" s="312"/>
      <c r="AA51" s="312"/>
      <c r="AB51" s="313"/>
      <c r="AC51" s="98" t="s">
        <v>119</v>
      </c>
      <c r="AD51" s="288">
        <f>ROUNDUP(T51*Y51,3)</f>
        <v>3.6000000000000004E-2</v>
      </c>
      <c r="AE51" s="289"/>
      <c r="AF51" s="289"/>
      <c r="AG51" s="290"/>
      <c r="AH51" s="99" t="s">
        <v>192</v>
      </c>
    </row>
    <row r="52" spans="5:50" ht="18.75" customHeight="1" x14ac:dyDescent="0.4">
      <c r="E52" s="140"/>
      <c r="F52" s="140"/>
      <c r="G52" s="140"/>
      <c r="H52" s="140"/>
      <c r="J52" s="115"/>
      <c r="K52" s="115"/>
      <c r="L52" s="115"/>
      <c r="M52" s="115"/>
      <c r="N52" s="115"/>
      <c r="O52" s="115"/>
      <c r="P52" s="115"/>
      <c r="Q52" s="115"/>
      <c r="R52" s="115"/>
      <c r="S52" s="115"/>
      <c r="AC52" s="275" t="s">
        <v>120</v>
      </c>
      <c r="AD52" s="275"/>
      <c r="AE52" s="275"/>
      <c r="AF52" s="275"/>
      <c r="AG52" s="275"/>
      <c r="AH52" s="275"/>
    </row>
    <row r="53" spans="5:50" ht="19.5" thickBot="1" x14ac:dyDescent="0.4">
      <c r="E53" s="140"/>
      <c r="F53" s="140"/>
      <c r="G53" s="140"/>
      <c r="H53" s="140"/>
      <c r="T53" s="309" t="s">
        <v>123</v>
      </c>
      <c r="U53" s="309"/>
      <c r="V53" s="309"/>
      <c r="W53" s="309"/>
      <c r="X53" s="318" t="s">
        <v>178</v>
      </c>
      <c r="Y53" s="318"/>
      <c r="Z53" s="318"/>
      <c r="AA53" s="318"/>
      <c r="AB53" s="318"/>
      <c r="AC53" s="318"/>
      <c r="AE53" s="291" t="s">
        <v>121</v>
      </c>
      <c r="AF53" s="291"/>
    </row>
    <row r="54" spans="5:50" ht="18.75" customHeight="1" thickTop="1" thickBot="1" x14ac:dyDescent="0.45">
      <c r="E54" s="140"/>
      <c r="F54" s="140"/>
      <c r="G54" s="140"/>
      <c r="H54" s="140"/>
      <c r="J54" s="297" t="s">
        <v>18</v>
      </c>
      <c r="K54" s="297"/>
      <c r="L54" s="297"/>
      <c r="M54" s="297"/>
      <c r="N54" s="297"/>
      <c r="O54" s="297"/>
      <c r="P54" s="297"/>
      <c r="Q54" s="297"/>
      <c r="R54" s="297"/>
      <c r="S54" s="297"/>
      <c r="T54" s="294">
        <f>HLOOKUP(A14,外皮係数の範囲リスト,17,FALSE)</f>
        <v>4.2759999999999998</v>
      </c>
      <c r="U54" s="295"/>
      <c r="V54" s="295"/>
      <c r="W54" s="296"/>
      <c r="X54" s="88" t="s">
        <v>122</v>
      </c>
      <c r="Y54" s="350">
        <v>0.32</v>
      </c>
      <c r="Z54" s="351"/>
      <c r="AA54" s="351"/>
      <c r="AB54" s="352"/>
      <c r="AC54" s="98" t="s">
        <v>119</v>
      </c>
      <c r="AD54" s="288">
        <f>ROUNDUP(T54*Y54,3)</f>
        <v>1.369</v>
      </c>
      <c r="AE54" s="289"/>
      <c r="AF54" s="289"/>
      <c r="AG54" s="290"/>
      <c r="AH54" s="99" t="s">
        <v>191</v>
      </c>
    </row>
    <row r="55" spans="5:50" ht="20.25" thickTop="1" thickBot="1" x14ac:dyDescent="0.45">
      <c r="E55" s="140"/>
      <c r="F55" s="140"/>
      <c r="G55" s="140"/>
      <c r="H55" s="140"/>
      <c r="AC55" s="275" t="s">
        <v>120</v>
      </c>
      <c r="AD55" s="275"/>
      <c r="AE55" s="275"/>
      <c r="AF55" s="275"/>
      <c r="AG55" s="275"/>
      <c r="AH55" s="275"/>
    </row>
    <row r="56" spans="5:50" ht="19.5" customHeight="1" thickTop="1" thickBot="1" x14ac:dyDescent="0.45">
      <c r="E56" s="140"/>
      <c r="F56" s="140"/>
      <c r="G56" s="140"/>
      <c r="H56" s="141">
        <f>SUM(AD47:AG51)+AD54</f>
        <v>2.1150000000000002</v>
      </c>
      <c r="J56" s="103" t="s">
        <v>184</v>
      </c>
      <c r="Y56" s="103"/>
      <c r="AB56" s="104" t="s">
        <v>201</v>
      </c>
      <c r="AC56" s="105" t="s">
        <v>119</v>
      </c>
      <c r="AD56" s="315">
        <f>ROUNDUP(H56,1)</f>
        <v>2.2000000000000002</v>
      </c>
      <c r="AE56" s="316"/>
      <c r="AF56" s="316"/>
      <c r="AG56" s="317"/>
    </row>
    <row r="57" spans="5:50" ht="19.5" thickTop="1" x14ac:dyDescent="0.4">
      <c r="AH57" s="118" t="s">
        <v>209</v>
      </c>
    </row>
    <row r="58" spans="5:50" ht="19.5" thickBot="1" x14ac:dyDescent="0.4">
      <c r="P58" s="309" t="s">
        <v>210</v>
      </c>
      <c r="Q58" s="336"/>
      <c r="R58" s="336"/>
      <c r="S58" s="336"/>
      <c r="U58" s="291" t="s">
        <v>211</v>
      </c>
      <c r="V58" s="291"/>
      <c r="W58" s="291"/>
      <c r="X58" s="291"/>
      <c r="AH58" s="118"/>
    </row>
    <row r="59" spans="5:50" ht="20.25" thickTop="1" thickBot="1" x14ac:dyDescent="0.45">
      <c r="O59" s="101"/>
      <c r="P59" s="347" t="str">
        <f>VLOOKUP(B32,A34:D37,3,FALSE)</f>
        <v>ー</v>
      </c>
      <c r="Q59" s="348"/>
      <c r="R59" s="348"/>
      <c r="S59" s="349"/>
      <c r="T59" s="88" t="s">
        <v>226</v>
      </c>
      <c r="U59" s="337">
        <f>AD56</f>
        <v>2.2000000000000002</v>
      </c>
      <c r="V59" s="338"/>
      <c r="W59" s="338"/>
      <c r="X59" s="339"/>
      <c r="AD59" s="344" t="str">
        <f>IF(A14=4,"ー",IF(E42=1,IF(P59&gt;=U59,"適合","不適合"),"ー"))</f>
        <v>ー</v>
      </c>
      <c r="AE59" s="345"/>
      <c r="AF59" s="345"/>
      <c r="AG59" s="346"/>
      <c r="AH59" s="116"/>
    </row>
    <row r="60" spans="5:50" ht="19.5" thickTop="1" x14ac:dyDescent="0.4">
      <c r="P60" s="98"/>
      <c r="Q60" s="98"/>
      <c r="R60" s="98"/>
      <c r="S60" s="98"/>
      <c r="AH60" s="116"/>
    </row>
    <row r="61" spans="5:50" x14ac:dyDescent="0.4">
      <c r="P61" s="98"/>
      <c r="Q61" s="98"/>
      <c r="R61" s="98"/>
      <c r="S61" s="98"/>
      <c r="AH61" s="116"/>
    </row>
    <row r="62" spans="5:50" x14ac:dyDescent="0.4">
      <c r="AH62" s="116"/>
    </row>
    <row r="64" spans="5:50" ht="18.75" customHeight="1" thickBot="1" x14ac:dyDescent="0.45">
      <c r="J64" s="122" t="s">
        <v>186</v>
      </c>
      <c r="K64" s="97"/>
      <c r="L64" s="97"/>
      <c r="M64" s="97"/>
      <c r="N64" s="97"/>
      <c r="O64" s="97"/>
      <c r="P64" s="97"/>
      <c r="Q64" s="97"/>
      <c r="R64" s="97"/>
      <c r="S64" s="97"/>
      <c r="T64" s="97"/>
      <c r="U64" s="97"/>
      <c r="V64" s="97"/>
      <c r="W64" s="97"/>
      <c r="X64" s="97"/>
      <c r="Y64" s="97"/>
      <c r="Z64" s="97"/>
      <c r="AA64" s="97"/>
      <c r="AB64" s="97"/>
      <c r="AC64" s="97"/>
      <c r="AD64" s="97"/>
      <c r="AE64" s="97"/>
      <c r="AF64" s="97"/>
      <c r="AG64" s="97"/>
      <c r="AH64" s="117" t="s">
        <v>87</v>
      </c>
      <c r="AS64"/>
      <c r="AT64"/>
      <c r="AU64"/>
      <c r="AV64"/>
      <c r="AW64"/>
      <c r="AX64"/>
    </row>
    <row r="65" spans="4:41" ht="18.75" customHeight="1" x14ac:dyDescent="0.4">
      <c r="J65" s="306" t="s">
        <v>177</v>
      </c>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row>
    <row r="66" spans="4:41" x14ac:dyDescent="0.4">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row>
    <row r="67" spans="4:41" ht="18.75" customHeight="1" x14ac:dyDescent="0.35">
      <c r="T67" s="309" t="s">
        <v>123</v>
      </c>
      <c r="U67" s="309"/>
      <c r="V67" s="309"/>
      <c r="W67" s="309"/>
      <c r="Y67" s="291" t="s">
        <v>125</v>
      </c>
      <c r="Z67" s="291"/>
      <c r="AA67" s="291"/>
      <c r="AB67" s="291"/>
      <c r="AE67" s="291" t="s">
        <v>121</v>
      </c>
      <c r="AF67" s="291"/>
    </row>
    <row r="68" spans="4:41" ht="18.75" customHeight="1" x14ac:dyDescent="0.4">
      <c r="D68" s="124">
        <f>T68*Y68</f>
        <v>0.36848000000000003</v>
      </c>
      <c r="J68" s="297" t="s">
        <v>11</v>
      </c>
      <c r="K68" s="297"/>
      <c r="L68" s="297"/>
      <c r="M68" s="297"/>
      <c r="N68" s="297"/>
      <c r="O68" s="297"/>
      <c r="P68" s="297"/>
      <c r="Q68" s="297"/>
      <c r="R68" s="297"/>
      <c r="S68" s="297"/>
      <c r="T68" s="294">
        <f>HLOOKUP(A14,外皮係数の範囲リスト,18,FALSE)</f>
        <v>0.65800000000000003</v>
      </c>
      <c r="U68" s="295"/>
      <c r="V68" s="295"/>
      <c r="W68" s="296"/>
      <c r="X68" s="88" t="s">
        <v>122</v>
      </c>
      <c r="Y68" s="311">
        <f>Y22</f>
        <v>0.56000000000000005</v>
      </c>
      <c r="Z68" s="312"/>
      <c r="AA68" s="312"/>
      <c r="AB68" s="313"/>
      <c r="AC68" s="98" t="s">
        <v>119</v>
      </c>
      <c r="AD68" s="311">
        <f>ROUNDDOWN(D68,3)</f>
        <v>0.36799999999999999</v>
      </c>
      <c r="AE68" s="312"/>
      <c r="AF68" s="312"/>
      <c r="AG68" s="313"/>
      <c r="AH68" s="99" t="s">
        <v>191</v>
      </c>
      <c r="AM68" s="123"/>
      <c r="AN68" s="123"/>
      <c r="AO68" s="123"/>
    </row>
    <row r="69" spans="4:41" ht="18.75" customHeight="1" x14ac:dyDescent="0.4">
      <c r="D69" s="124">
        <f t="shared" ref="D69:D72" si="12">T69*Y69</f>
        <v>0.37664999999999998</v>
      </c>
      <c r="J69" s="297" t="s">
        <v>12</v>
      </c>
      <c r="K69" s="297"/>
      <c r="L69" s="297"/>
      <c r="M69" s="297" t="s">
        <v>13</v>
      </c>
      <c r="N69" s="297"/>
      <c r="O69" s="297"/>
      <c r="P69" s="297"/>
      <c r="Q69" s="297"/>
      <c r="R69" s="297"/>
      <c r="S69" s="297"/>
      <c r="T69" s="294">
        <f>HLOOKUP(A14,外皮係数の範囲リスト,19,FALSE)</f>
        <v>0.83699999999999997</v>
      </c>
      <c r="U69" s="295"/>
      <c r="V69" s="295"/>
      <c r="W69" s="296"/>
      <c r="X69" s="88" t="s">
        <v>122</v>
      </c>
      <c r="Y69" s="311">
        <f>Y23</f>
        <v>0.45</v>
      </c>
      <c r="Z69" s="312"/>
      <c r="AA69" s="312"/>
      <c r="AB69" s="313"/>
      <c r="AC69" s="98" t="s">
        <v>119</v>
      </c>
      <c r="AD69" s="311">
        <f t="shared" ref="AD69:AD72" si="13">ROUNDDOWN(D69,3)</f>
        <v>0.376</v>
      </c>
      <c r="AE69" s="312"/>
      <c r="AF69" s="312"/>
      <c r="AG69" s="313"/>
      <c r="AH69" s="99" t="s">
        <v>193</v>
      </c>
    </row>
    <row r="70" spans="4:41" ht="18.75" customHeight="1" x14ac:dyDescent="0.4">
      <c r="D70" s="124">
        <f t="shared" si="12"/>
        <v>7.9999999999999996E-6</v>
      </c>
      <c r="J70" s="297"/>
      <c r="K70" s="297"/>
      <c r="L70" s="297"/>
      <c r="M70" s="297" t="s">
        <v>14</v>
      </c>
      <c r="N70" s="297"/>
      <c r="O70" s="297"/>
      <c r="P70" s="297"/>
      <c r="Q70" s="297"/>
      <c r="R70" s="297"/>
      <c r="S70" s="297"/>
      <c r="T70" s="294">
        <f>HLOOKUP(A14,外皮係数の範囲リスト,20,FALSE)</f>
        <v>2E-3</v>
      </c>
      <c r="U70" s="295"/>
      <c r="V70" s="295"/>
      <c r="W70" s="296"/>
      <c r="X70" s="88" t="s">
        <v>122</v>
      </c>
      <c r="Y70" s="311">
        <f>T24</f>
        <v>4.0000000000000001E-3</v>
      </c>
      <c r="Z70" s="312"/>
      <c r="AA70" s="312"/>
      <c r="AB70" s="313"/>
      <c r="AC70" s="98" t="s">
        <v>119</v>
      </c>
      <c r="AD70" s="311">
        <f t="shared" si="13"/>
        <v>0</v>
      </c>
      <c r="AE70" s="312"/>
      <c r="AF70" s="312"/>
      <c r="AG70" s="313"/>
      <c r="AH70" s="99" t="s">
        <v>194</v>
      </c>
    </row>
    <row r="71" spans="4:41" ht="18.75" customHeight="1" x14ac:dyDescent="0.4">
      <c r="D71" s="124">
        <f t="shared" si="12"/>
        <v>0</v>
      </c>
      <c r="J71" s="297"/>
      <c r="K71" s="297"/>
      <c r="L71" s="297"/>
      <c r="M71" s="314" t="str">
        <f>IF(AH3=3,"ー",IF(AH3=4,"基礎壁（浴室・その他）",IF(AH3=2,"基礎壁（浴室）","ー")))</f>
        <v>ー</v>
      </c>
      <c r="N71" s="314"/>
      <c r="O71" s="314"/>
      <c r="P71" s="314"/>
      <c r="Q71" s="314"/>
      <c r="R71" s="314"/>
      <c r="S71" s="314"/>
      <c r="T71" s="294">
        <f>HLOOKUP(A14,外皮係数の範囲リスト,21,FALSE)</f>
        <v>0</v>
      </c>
      <c r="U71" s="295"/>
      <c r="V71" s="295"/>
      <c r="W71" s="296"/>
      <c r="X71" s="88" t="s">
        <v>122</v>
      </c>
      <c r="Y71" s="311">
        <f>Y25</f>
        <v>0.6</v>
      </c>
      <c r="Z71" s="312"/>
      <c r="AA71" s="312"/>
      <c r="AB71" s="313"/>
      <c r="AC71" s="98" t="s">
        <v>119</v>
      </c>
      <c r="AD71" s="311">
        <f t="shared" si="13"/>
        <v>0</v>
      </c>
      <c r="AE71" s="312"/>
      <c r="AF71" s="312"/>
      <c r="AG71" s="313"/>
      <c r="AH71" s="99" t="s">
        <v>195</v>
      </c>
    </row>
    <row r="72" spans="4:41" ht="18.75" customHeight="1" x14ac:dyDescent="0.4">
      <c r="D72" s="124">
        <f t="shared" si="12"/>
        <v>2.632E-2</v>
      </c>
      <c r="J72" s="297" t="s">
        <v>19</v>
      </c>
      <c r="K72" s="297"/>
      <c r="L72" s="297"/>
      <c r="M72" s="297"/>
      <c r="N72" s="297"/>
      <c r="O72" s="297"/>
      <c r="P72" s="297"/>
      <c r="Q72" s="297"/>
      <c r="R72" s="297"/>
      <c r="S72" s="297"/>
      <c r="T72" s="294">
        <f>HLOOKUP(A14,外皮係数の範囲リスト,22,FALSE)</f>
        <v>1.4E-2</v>
      </c>
      <c r="U72" s="295"/>
      <c r="V72" s="295"/>
      <c r="W72" s="296"/>
      <c r="X72" s="88" t="s">
        <v>122</v>
      </c>
      <c r="Y72" s="311">
        <f>Y29</f>
        <v>1.88</v>
      </c>
      <c r="Z72" s="312"/>
      <c r="AA72" s="312"/>
      <c r="AB72" s="313"/>
      <c r="AC72" s="98" t="s">
        <v>119</v>
      </c>
      <c r="AD72" s="311">
        <f t="shared" si="13"/>
        <v>2.5999999999999999E-2</v>
      </c>
      <c r="AE72" s="312"/>
      <c r="AF72" s="312"/>
      <c r="AG72" s="313"/>
      <c r="AH72" s="99" t="s">
        <v>196</v>
      </c>
    </row>
    <row r="73" spans="4:41" ht="18.75" customHeight="1" x14ac:dyDescent="0.4">
      <c r="J73" s="115"/>
      <c r="K73" s="115"/>
      <c r="L73" s="115"/>
      <c r="M73" s="115"/>
      <c r="N73" s="115"/>
      <c r="O73" s="115"/>
      <c r="P73" s="115"/>
      <c r="Q73" s="115"/>
      <c r="R73" s="115"/>
      <c r="S73" s="115"/>
      <c r="AC73" s="275" t="s">
        <v>214</v>
      </c>
      <c r="AD73" s="275"/>
      <c r="AE73" s="275"/>
      <c r="AF73" s="275"/>
      <c r="AG73" s="275"/>
      <c r="AH73" s="275"/>
    </row>
    <row r="74" spans="4:41" x14ac:dyDescent="0.35">
      <c r="T74" s="309" t="s">
        <v>123</v>
      </c>
      <c r="U74" s="309"/>
      <c r="V74" s="309"/>
      <c r="W74" s="309"/>
      <c r="X74" s="318" t="s">
        <v>178</v>
      </c>
      <c r="Y74" s="318"/>
      <c r="Z74" s="318"/>
      <c r="AA74" s="318"/>
      <c r="AB74" s="318"/>
      <c r="AC74" s="318"/>
      <c r="AE74" s="291" t="s">
        <v>121</v>
      </c>
      <c r="AF74" s="291"/>
    </row>
    <row r="75" spans="4:41" ht="18.75" customHeight="1" x14ac:dyDescent="0.4">
      <c r="D75" s="124">
        <f t="shared" ref="D75" si="14">T75*Y75</f>
        <v>1.4115199999999999</v>
      </c>
      <c r="J75" s="297" t="s">
        <v>18</v>
      </c>
      <c r="K75" s="297"/>
      <c r="L75" s="297"/>
      <c r="M75" s="297"/>
      <c r="N75" s="297"/>
      <c r="O75" s="297"/>
      <c r="P75" s="297"/>
      <c r="Q75" s="297"/>
      <c r="R75" s="297"/>
      <c r="S75" s="297"/>
      <c r="T75" s="294">
        <f>HLOOKUP(A14,外皮係数の範囲リスト,23,FALSE)</f>
        <v>4.4109999999999996</v>
      </c>
      <c r="U75" s="295"/>
      <c r="V75" s="295"/>
      <c r="W75" s="296"/>
      <c r="X75" s="88" t="s">
        <v>122</v>
      </c>
      <c r="Y75" s="311">
        <f>Y54</f>
        <v>0.32</v>
      </c>
      <c r="Z75" s="312"/>
      <c r="AA75" s="312"/>
      <c r="AB75" s="313"/>
      <c r="AC75" s="98" t="s">
        <v>119</v>
      </c>
      <c r="AD75" s="311">
        <f>ROUNDDOWN(D75,3)</f>
        <v>1.411</v>
      </c>
      <c r="AE75" s="312"/>
      <c r="AF75" s="312"/>
      <c r="AG75" s="313"/>
      <c r="AH75" s="99" t="s">
        <v>197</v>
      </c>
    </row>
    <row r="76" spans="4:41" ht="19.5" thickBot="1" x14ac:dyDescent="0.45">
      <c r="AC76" s="275" t="s">
        <v>214</v>
      </c>
      <c r="AD76" s="275"/>
      <c r="AE76" s="275"/>
      <c r="AF76" s="275"/>
      <c r="AG76" s="275"/>
      <c r="AH76" s="275"/>
    </row>
    <row r="77" spans="4:41" ht="19.5" customHeight="1" thickTop="1" thickBot="1" x14ac:dyDescent="0.45">
      <c r="H77" s="142">
        <f>SUM(AD68:AG72)+AD75</f>
        <v>2.181</v>
      </c>
      <c r="J77" s="103" t="s">
        <v>184</v>
      </c>
      <c r="Y77" s="103"/>
      <c r="AB77" s="104" t="s">
        <v>198</v>
      </c>
      <c r="AC77" s="105" t="s">
        <v>119</v>
      </c>
      <c r="AD77" s="315">
        <f>ROUNDDOWN(H77,1)</f>
        <v>2.1</v>
      </c>
      <c r="AE77" s="316"/>
      <c r="AF77" s="316"/>
      <c r="AG77" s="317"/>
    </row>
    <row r="78" spans="4:41" ht="19.5" thickTop="1" x14ac:dyDescent="0.4">
      <c r="AH78" s="118" t="s">
        <v>187</v>
      </c>
    </row>
  </sheetData>
  <sheetProtection algorithmName="SHA-512" hashValue="lwDDzUcGBvr3iRPq7aIOu+A5+I50hUjPfR5+OgR+a0NS7LuZbWRkpkax6FFhXMd6wJq8S0iVh652L2eZb461gw==" saltValue="ygnxqTRwBmU8WkggxgkqgA==" spinCount="100000" sheet="1" selectLockedCells="1"/>
  <mergeCells count="155">
    <mergeCell ref="AC52:AH52"/>
    <mergeCell ref="J54:S54"/>
    <mergeCell ref="L37:O37"/>
    <mergeCell ref="U37:X37"/>
    <mergeCell ref="P58:S58"/>
    <mergeCell ref="U58:X58"/>
    <mergeCell ref="U59:X59"/>
    <mergeCell ref="L38:O38"/>
    <mergeCell ref="U38:X38"/>
    <mergeCell ref="AD38:AG38"/>
    <mergeCell ref="P59:S59"/>
    <mergeCell ref="AD59:AG59"/>
    <mergeCell ref="AC55:AH55"/>
    <mergeCell ref="T54:W54"/>
    <mergeCell ref="Y54:AB54"/>
    <mergeCell ref="AD54:AG54"/>
    <mergeCell ref="AE53:AF53"/>
    <mergeCell ref="X53:AC53"/>
    <mergeCell ref="T53:W53"/>
    <mergeCell ref="Y47:AB47"/>
    <mergeCell ref="AD47:AG47"/>
    <mergeCell ref="AE46:AF46"/>
    <mergeCell ref="Y46:AB46"/>
    <mergeCell ref="T46:W46"/>
    <mergeCell ref="J23:L25"/>
    <mergeCell ref="M23:S23"/>
    <mergeCell ref="M24:S24"/>
    <mergeCell ref="M25:S25"/>
    <mergeCell ref="J26:L27"/>
    <mergeCell ref="M26:S26"/>
    <mergeCell ref="M27:S27"/>
    <mergeCell ref="O33:S33"/>
    <mergeCell ref="T33:W33"/>
    <mergeCell ref="J32:N33"/>
    <mergeCell ref="AD77:AG77"/>
    <mergeCell ref="AC76:AH76"/>
    <mergeCell ref="Y25:AB25"/>
    <mergeCell ref="AD25:AG25"/>
    <mergeCell ref="T50:W50"/>
    <mergeCell ref="T25:W25"/>
    <mergeCell ref="Y50:AB50"/>
    <mergeCell ref="AD50:AG50"/>
    <mergeCell ref="T71:W71"/>
    <mergeCell ref="Y71:AB71"/>
    <mergeCell ref="T74:W74"/>
    <mergeCell ref="X74:AC74"/>
    <mergeCell ref="AE74:AF74"/>
    <mergeCell ref="T69:W69"/>
    <mergeCell ref="Y69:AB69"/>
    <mergeCell ref="AD69:AG69"/>
    <mergeCell ref="T70:W70"/>
    <mergeCell ref="Y70:AB70"/>
    <mergeCell ref="AD70:AG70"/>
    <mergeCell ref="J65:AH66"/>
    <mergeCell ref="T67:W67"/>
    <mergeCell ref="Y67:AB67"/>
    <mergeCell ref="AE67:AF67"/>
    <mergeCell ref="J68:S68"/>
    <mergeCell ref="AD40:AH40"/>
    <mergeCell ref="AF42:AG42"/>
    <mergeCell ref="J44:AH45"/>
    <mergeCell ref="J47:S47"/>
    <mergeCell ref="T47:W47"/>
    <mergeCell ref="J75:S75"/>
    <mergeCell ref="T75:W75"/>
    <mergeCell ref="Y75:AB75"/>
    <mergeCell ref="AD75:AG75"/>
    <mergeCell ref="J72:S72"/>
    <mergeCell ref="T72:W72"/>
    <mergeCell ref="Y72:AB72"/>
    <mergeCell ref="AD72:AG72"/>
    <mergeCell ref="AC73:AH73"/>
    <mergeCell ref="AD71:AG71"/>
    <mergeCell ref="J48:L50"/>
    <mergeCell ref="J69:L71"/>
    <mergeCell ref="M69:S69"/>
    <mergeCell ref="M70:S70"/>
    <mergeCell ref="M71:S71"/>
    <mergeCell ref="T68:W68"/>
    <mergeCell ref="Y68:AB68"/>
    <mergeCell ref="AD68:AG68"/>
    <mergeCell ref="AD56:AG56"/>
    <mergeCell ref="J51:S51"/>
    <mergeCell ref="T51:W51"/>
    <mergeCell ref="Y51:AB51"/>
    <mergeCell ref="AD51:AG51"/>
    <mergeCell ref="T48:W48"/>
    <mergeCell ref="Y48:AB48"/>
    <mergeCell ref="AD48:AG48"/>
    <mergeCell ref="T49:W49"/>
    <mergeCell ref="Y49:AB49"/>
    <mergeCell ref="AD49:AG49"/>
    <mergeCell ref="M48:S48"/>
    <mergeCell ref="M49:S49"/>
    <mergeCell ref="M50:S50"/>
    <mergeCell ref="W14:AA14"/>
    <mergeCell ref="U16:AC16"/>
    <mergeCell ref="U15:AC15"/>
    <mergeCell ref="T32:W32"/>
    <mergeCell ref="Y32:AB32"/>
    <mergeCell ref="J28:S28"/>
    <mergeCell ref="J29:S29"/>
    <mergeCell ref="O32:S32"/>
    <mergeCell ref="T24:W24"/>
    <mergeCell ref="T26:W26"/>
    <mergeCell ref="T27:W27"/>
    <mergeCell ref="T28:W28"/>
    <mergeCell ref="T29:W29"/>
    <mergeCell ref="J14:R14"/>
    <mergeCell ref="J15:R15"/>
    <mergeCell ref="J16:R16"/>
    <mergeCell ref="J19:AH20"/>
    <mergeCell ref="T22:W22"/>
    <mergeCell ref="T23:W23"/>
    <mergeCell ref="J22:S22"/>
    <mergeCell ref="T21:W21"/>
    <mergeCell ref="Y21:AB21"/>
    <mergeCell ref="AD21:AG21"/>
    <mergeCell ref="T31:W31"/>
    <mergeCell ref="AC34:AH34"/>
    <mergeCell ref="AD35:AG35"/>
    <mergeCell ref="Y22:AB22"/>
    <mergeCell ref="Y23:AB23"/>
    <mergeCell ref="Y24:AB24"/>
    <mergeCell ref="Y26:AB26"/>
    <mergeCell ref="Y27:AB27"/>
    <mergeCell ref="Y28:AB28"/>
    <mergeCell ref="Y29:AB29"/>
    <mergeCell ref="AC30:AH30"/>
    <mergeCell ref="AD32:AG32"/>
    <mergeCell ref="AD29:AG29"/>
    <mergeCell ref="AD23:AG23"/>
    <mergeCell ref="AD24:AG24"/>
    <mergeCell ref="AD26:AG26"/>
    <mergeCell ref="AD27:AG27"/>
    <mergeCell ref="AD28:AG28"/>
    <mergeCell ref="AD22:AG22"/>
    <mergeCell ref="Y31:AB31"/>
    <mergeCell ref="AD31:AG31"/>
    <mergeCell ref="Y33:AB33"/>
    <mergeCell ref="AD33:AG33"/>
    <mergeCell ref="AD1:AH1"/>
    <mergeCell ref="AF3:AG3"/>
    <mergeCell ref="J4:L4"/>
    <mergeCell ref="M4:O4"/>
    <mergeCell ref="J6:AH6"/>
    <mergeCell ref="J13:R13"/>
    <mergeCell ref="J9:R9"/>
    <mergeCell ref="S9:AH9"/>
    <mergeCell ref="J10:R10"/>
    <mergeCell ref="S10:AH10"/>
    <mergeCell ref="J11:R11"/>
    <mergeCell ref="S11:AH11"/>
    <mergeCell ref="W13:X13"/>
    <mergeCell ref="J7:AH7"/>
  </mergeCells>
  <phoneticPr fontId="1"/>
  <conditionalFormatting sqref="U16:AC16">
    <cfRule type="expression" dxfId="0" priority="1">
      <formula>$A$15=2</formula>
    </cfRule>
  </conditionalFormatting>
  <dataValidations count="3">
    <dataValidation type="list" allowBlank="1" showInputMessage="1" showErrorMessage="1" sqref="U16" xr:uid="{937C4FCB-CCAD-4700-B575-21F4F04A7F44}">
      <formula1>浴室の断熱構造リスト</formula1>
    </dataValidation>
    <dataValidation type="list" allowBlank="1" showInputMessage="1" showErrorMessage="1" sqref="U15" xr:uid="{DA3C87A2-72DE-4D70-A298-19642D4F14B5}">
      <formula1>断熱構造リスト</formula1>
    </dataValidation>
    <dataValidation type="list" allowBlank="1" showInputMessage="1" showErrorMessage="1" sqref="W13" xr:uid="{585FC602-89B8-4CEC-8686-657D5EE576B9}">
      <formula1>"4,5,6,7"</formula1>
    </dataValidation>
  </dataValidations>
  <pageMargins left="0.70866141732283472" right="0.70866141732283472" top="0.74803149606299213" bottom="0.55118110236220474" header="0.31496062992125984" footer="0.31496062992125984"/>
  <pageSetup paperSize="9" orientation="portrait" blackAndWhite="1" r:id="rId1"/>
  <rowBreaks count="1" manualBreakCount="1">
    <brk id="39" min="9" max="3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95C0-1380-4C38-8A41-7414D4AFAE99}">
  <dimension ref="A1:Z54"/>
  <sheetViews>
    <sheetView view="pageBreakPreview" topLeftCell="AC1" zoomScale="60" zoomScaleNormal="70" workbookViewId="0">
      <selection sqref="A1:AB1048576"/>
    </sheetView>
  </sheetViews>
  <sheetFormatPr defaultRowHeight="18.75" x14ac:dyDescent="0.4"/>
  <cols>
    <col min="1" max="5" width="0" hidden="1" customWidth="1"/>
    <col min="6" max="10" width="9" hidden="1" customWidth="1"/>
    <col min="11" max="20" width="0" hidden="1" customWidth="1"/>
    <col min="21" max="26" width="17.875" hidden="1" customWidth="1"/>
    <col min="27" max="28" width="0" hidden="1" customWidth="1"/>
  </cols>
  <sheetData>
    <row r="1" spans="1:25" x14ac:dyDescent="0.4">
      <c r="A1" s="85" t="s">
        <v>243</v>
      </c>
      <c r="B1" s="3">
        <f>一次エネ消費量表紙!C15</f>
        <v>1</v>
      </c>
      <c r="L1" t="s">
        <v>6</v>
      </c>
      <c r="N1" t="s">
        <v>147</v>
      </c>
    </row>
    <row r="2" spans="1:25" ht="19.5" thickBot="1" x14ac:dyDescent="0.45"/>
    <row r="3" spans="1:25" ht="19.5" thickBot="1" x14ac:dyDescent="0.45">
      <c r="A3" t="s">
        <v>48</v>
      </c>
      <c r="L3" t="s">
        <v>48</v>
      </c>
      <c r="U3" s="51" t="s">
        <v>152</v>
      </c>
      <c r="V3" s="51" t="s">
        <v>277</v>
      </c>
      <c r="W3" s="51" t="s">
        <v>153</v>
      </c>
      <c r="X3" s="51" t="s">
        <v>154</v>
      </c>
      <c r="Y3" s="51" t="s">
        <v>155</v>
      </c>
    </row>
    <row r="4" spans="1:25" ht="19.5" thickBot="1" x14ac:dyDescent="0.45">
      <c r="A4" s="469" t="s">
        <v>265</v>
      </c>
      <c r="B4" s="469"/>
      <c r="C4" s="3">
        <f>一次エネ消費量表紙!A49</f>
        <v>4</v>
      </c>
      <c r="N4" s="44" t="s">
        <v>49</v>
      </c>
      <c r="U4" s="470" t="s">
        <v>44</v>
      </c>
      <c r="V4" s="470"/>
      <c r="W4" s="470"/>
      <c r="X4" s="470"/>
      <c r="Y4" s="470"/>
    </row>
    <row r="5" spans="1:25" ht="19.5" thickBot="1" x14ac:dyDescent="0.45">
      <c r="B5" s="4" t="s">
        <v>44</v>
      </c>
      <c r="C5" s="201">
        <f>HLOOKUP(暖房方式番号Z,換気設備配列6地域,C4+1,FALSE)</f>
        <v>8</v>
      </c>
      <c r="M5" s="469" t="s">
        <v>50</v>
      </c>
      <c r="N5" s="469"/>
      <c r="O5" s="469"/>
      <c r="P5" s="469"/>
      <c r="Q5" s="469"/>
      <c r="R5" s="469"/>
      <c r="S5" s="469"/>
      <c r="T5" s="45"/>
      <c r="U5" s="3">
        <v>1</v>
      </c>
      <c r="V5" s="3">
        <v>2</v>
      </c>
      <c r="W5" s="3">
        <v>3</v>
      </c>
      <c r="X5" s="3">
        <v>4</v>
      </c>
      <c r="Y5" s="3">
        <v>5</v>
      </c>
    </row>
    <row r="6" spans="1:25" x14ac:dyDescent="0.4">
      <c r="M6" s="45" t="s">
        <v>73</v>
      </c>
      <c r="N6" s="418" t="s">
        <v>51</v>
      </c>
      <c r="O6" s="418"/>
      <c r="P6" s="418"/>
      <c r="Q6" s="418"/>
      <c r="R6" s="418"/>
      <c r="S6" s="418"/>
      <c r="T6" s="3">
        <v>1</v>
      </c>
      <c r="U6" s="3">
        <v>13</v>
      </c>
      <c r="V6" s="3">
        <v>13</v>
      </c>
      <c r="W6" s="3">
        <v>13</v>
      </c>
      <c r="X6" s="3">
        <v>13</v>
      </c>
      <c r="Y6" s="3">
        <v>0</v>
      </c>
    </row>
    <row r="7" spans="1:25" x14ac:dyDescent="0.4">
      <c r="M7" s="45" t="s">
        <v>73</v>
      </c>
      <c r="N7" s="418" t="s">
        <v>52</v>
      </c>
      <c r="O7" s="418"/>
      <c r="P7" s="418"/>
      <c r="Q7" s="418"/>
      <c r="R7" s="418"/>
      <c r="S7" s="418"/>
      <c r="T7" s="3">
        <v>2</v>
      </c>
      <c r="U7" s="3">
        <v>10</v>
      </c>
      <c r="V7" s="3">
        <v>10</v>
      </c>
      <c r="W7" s="3">
        <v>10</v>
      </c>
      <c r="X7" s="3">
        <v>10</v>
      </c>
      <c r="Y7" s="3">
        <v>0</v>
      </c>
    </row>
    <row r="8" spans="1:25" x14ac:dyDescent="0.4">
      <c r="M8" s="45" t="s">
        <v>73</v>
      </c>
      <c r="N8" s="418" t="s">
        <v>53</v>
      </c>
      <c r="O8" s="418"/>
      <c r="P8" s="418"/>
      <c r="Q8" s="418"/>
      <c r="R8" s="418"/>
      <c r="S8" s="418"/>
      <c r="T8" s="3">
        <v>3</v>
      </c>
      <c r="U8" s="3">
        <v>10</v>
      </c>
      <c r="V8" s="3">
        <v>10</v>
      </c>
      <c r="W8" s="3">
        <v>10</v>
      </c>
      <c r="X8" s="3">
        <v>10</v>
      </c>
      <c r="Y8" s="3">
        <v>0</v>
      </c>
    </row>
    <row r="9" spans="1:25" x14ac:dyDescent="0.4">
      <c r="M9" s="45" t="s">
        <v>73</v>
      </c>
      <c r="N9" s="418" t="s">
        <v>54</v>
      </c>
      <c r="O9" s="418"/>
      <c r="P9" s="418"/>
      <c r="Q9" s="418"/>
      <c r="R9" s="418"/>
      <c r="S9" s="418"/>
      <c r="T9" s="3">
        <v>4</v>
      </c>
      <c r="U9" s="3">
        <v>8</v>
      </c>
      <c r="V9" s="3">
        <v>8</v>
      </c>
      <c r="W9" s="3">
        <v>8</v>
      </c>
      <c r="X9" s="3">
        <v>8</v>
      </c>
      <c r="Y9" s="3">
        <v>0</v>
      </c>
    </row>
    <row r="10" spans="1:25" x14ac:dyDescent="0.4">
      <c r="A10" t="s">
        <v>55</v>
      </c>
    </row>
    <row r="11" spans="1:25" ht="19.5" thickBot="1" x14ac:dyDescent="0.45">
      <c r="A11" s="469" t="s">
        <v>265</v>
      </c>
      <c r="B11" s="469"/>
      <c r="C11" s="3">
        <f>一次エネ消費量表紙!F68</f>
        <v>1</v>
      </c>
      <c r="L11" t="s">
        <v>55</v>
      </c>
    </row>
    <row r="12" spans="1:25" ht="19.5" thickBot="1" x14ac:dyDescent="0.45">
      <c r="B12" s="4" t="s">
        <v>44</v>
      </c>
      <c r="C12" s="201">
        <f>HLOOKUP(暖房方式番号Z,給湯設備配列6地域,C11+1,FALSE)</f>
        <v>43</v>
      </c>
      <c r="N12" s="44" t="s">
        <v>49</v>
      </c>
      <c r="O12" s="44"/>
      <c r="P12" s="44"/>
      <c r="Q12" s="44"/>
      <c r="R12" s="44"/>
      <c r="S12" s="44"/>
      <c r="T12" s="44"/>
      <c r="U12" s="51" t="s">
        <v>152</v>
      </c>
      <c r="V12" s="51" t="s">
        <v>277</v>
      </c>
      <c r="W12" s="51" t="s">
        <v>153</v>
      </c>
      <c r="X12" s="51" t="s">
        <v>154</v>
      </c>
      <c r="Y12" s="51" t="s">
        <v>155</v>
      </c>
    </row>
    <row r="13" spans="1:25" x14ac:dyDescent="0.4">
      <c r="M13" s="469" t="s">
        <v>50</v>
      </c>
      <c r="N13" s="469"/>
      <c r="O13" s="469"/>
      <c r="P13" s="469"/>
      <c r="Q13" s="469"/>
      <c r="R13" s="469" t="s">
        <v>56</v>
      </c>
      <c r="S13" s="469"/>
      <c r="T13" s="45"/>
      <c r="U13" s="3">
        <v>1</v>
      </c>
      <c r="V13" s="3">
        <v>2</v>
      </c>
      <c r="W13" s="3">
        <v>3</v>
      </c>
      <c r="X13" s="3">
        <v>4</v>
      </c>
      <c r="Y13" s="3">
        <v>5</v>
      </c>
    </row>
    <row r="14" spans="1:25" x14ac:dyDescent="0.4">
      <c r="M14" s="45" t="s">
        <v>73</v>
      </c>
      <c r="N14" s="418" t="s">
        <v>33</v>
      </c>
      <c r="O14" s="418"/>
      <c r="P14" s="418"/>
      <c r="Q14" s="418"/>
      <c r="R14" s="3"/>
      <c r="S14" s="45" t="s">
        <v>104</v>
      </c>
      <c r="T14" s="3">
        <v>1</v>
      </c>
      <c r="U14" s="3">
        <v>43</v>
      </c>
      <c r="V14" s="3">
        <v>43</v>
      </c>
      <c r="W14" s="3">
        <v>43</v>
      </c>
      <c r="X14" s="3">
        <v>43</v>
      </c>
      <c r="Y14" s="3">
        <v>0</v>
      </c>
    </row>
    <row r="15" spans="1:25" x14ac:dyDescent="0.4">
      <c r="M15" s="469" t="s">
        <v>73</v>
      </c>
      <c r="N15" s="418" t="s">
        <v>57</v>
      </c>
      <c r="O15" s="418"/>
      <c r="P15" s="418"/>
      <c r="Q15" s="418"/>
      <c r="R15" s="45" t="s">
        <v>73</v>
      </c>
      <c r="S15" s="3" t="s">
        <v>62</v>
      </c>
      <c r="T15" s="3">
        <v>2</v>
      </c>
      <c r="U15" s="3">
        <v>47</v>
      </c>
      <c r="V15" s="3">
        <v>47</v>
      </c>
      <c r="W15" s="3">
        <v>47</v>
      </c>
      <c r="X15" s="3">
        <v>47</v>
      </c>
      <c r="Y15" s="3">
        <v>0</v>
      </c>
    </row>
    <row r="16" spans="1:25" x14ac:dyDescent="0.4">
      <c r="M16" s="469"/>
      <c r="N16" s="418"/>
      <c r="O16" s="418"/>
      <c r="P16" s="418"/>
      <c r="Q16" s="418"/>
      <c r="R16" s="45" t="s">
        <v>73</v>
      </c>
      <c r="S16" s="3" t="s">
        <v>63</v>
      </c>
      <c r="T16" s="3">
        <v>3</v>
      </c>
      <c r="U16" s="3">
        <v>44</v>
      </c>
      <c r="V16" s="3">
        <v>44</v>
      </c>
      <c r="W16" s="3">
        <v>44</v>
      </c>
      <c r="X16" s="3">
        <v>44</v>
      </c>
      <c r="Y16" s="3">
        <v>0</v>
      </c>
    </row>
    <row r="17" spans="1:25" x14ac:dyDescent="0.4">
      <c r="M17" s="469" t="s">
        <v>73</v>
      </c>
      <c r="N17" s="418" t="s">
        <v>58</v>
      </c>
      <c r="O17" s="418"/>
      <c r="P17" s="418"/>
      <c r="Q17" s="418"/>
      <c r="R17" s="45" t="s">
        <v>73</v>
      </c>
      <c r="S17" s="3" t="s">
        <v>62</v>
      </c>
      <c r="T17" s="3">
        <v>4</v>
      </c>
      <c r="U17" s="3">
        <v>40</v>
      </c>
      <c r="V17" s="3">
        <v>40</v>
      </c>
      <c r="W17" s="3">
        <v>40</v>
      </c>
      <c r="X17" s="3">
        <v>40</v>
      </c>
      <c r="Y17" s="3">
        <v>0</v>
      </c>
    </row>
    <row r="18" spans="1:25" x14ac:dyDescent="0.4">
      <c r="M18" s="469"/>
      <c r="N18" s="418"/>
      <c r="O18" s="418"/>
      <c r="P18" s="418"/>
      <c r="Q18" s="418"/>
      <c r="R18" s="45" t="s">
        <v>73</v>
      </c>
      <c r="S18" s="3" t="s">
        <v>63</v>
      </c>
      <c r="T18" s="3">
        <v>5</v>
      </c>
      <c r="U18" s="3">
        <v>38</v>
      </c>
      <c r="V18" s="3">
        <v>38</v>
      </c>
      <c r="W18" s="3">
        <v>38</v>
      </c>
      <c r="X18" s="3">
        <v>38</v>
      </c>
      <c r="Y18" s="3">
        <v>0</v>
      </c>
    </row>
    <row r="19" spans="1:25" x14ac:dyDescent="0.4">
      <c r="M19" s="469" t="s">
        <v>73</v>
      </c>
      <c r="N19" s="418" t="s">
        <v>59</v>
      </c>
      <c r="O19" s="418"/>
      <c r="P19" s="418"/>
      <c r="Q19" s="418"/>
      <c r="R19" s="45" t="s">
        <v>73</v>
      </c>
      <c r="S19" s="3" t="s">
        <v>62</v>
      </c>
      <c r="T19" s="3">
        <v>6</v>
      </c>
      <c r="U19" s="3">
        <v>42</v>
      </c>
      <c r="V19" s="3">
        <v>42</v>
      </c>
      <c r="W19" s="3">
        <v>42</v>
      </c>
      <c r="X19" s="3">
        <v>42</v>
      </c>
      <c r="Y19" s="3">
        <v>0</v>
      </c>
    </row>
    <row r="20" spans="1:25" x14ac:dyDescent="0.4">
      <c r="M20" s="469"/>
      <c r="N20" s="418"/>
      <c r="O20" s="418"/>
      <c r="P20" s="418"/>
      <c r="Q20" s="418"/>
      <c r="R20" s="45" t="s">
        <v>73</v>
      </c>
      <c r="S20" s="3" t="s">
        <v>63</v>
      </c>
      <c r="T20" s="3">
        <v>7</v>
      </c>
      <c r="U20" s="3">
        <v>39</v>
      </c>
      <c r="V20" s="3">
        <v>39</v>
      </c>
      <c r="W20" s="3">
        <v>39</v>
      </c>
      <c r="X20" s="3">
        <v>39</v>
      </c>
      <c r="Y20" s="3">
        <v>0</v>
      </c>
    </row>
    <row r="21" spans="1:25" x14ac:dyDescent="0.4">
      <c r="M21" s="469" t="s">
        <v>73</v>
      </c>
      <c r="N21" s="418" t="s">
        <v>60</v>
      </c>
      <c r="O21" s="418"/>
      <c r="P21" s="418"/>
      <c r="Q21" s="418"/>
      <c r="R21" s="45" t="s">
        <v>73</v>
      </c>
      <c r="S21" s="3" t="s">
        <v>62</v>
      </c>
      <c r="T21" s="3">
        <v>8</v>
      </c>
      <c r="U21" s="3">
        <v>40</v>
      </c>
      <c r="V21" s="3">
        <v>40</v>
      </c>
      <c r="W21" s="3">
        <v>40</v>
      </c>
      <c r="X21" s="3">
        <v>40</v>
      </c>
      <c r="Y21" s="3">
        <v>0</v>
      </c>
    </row>
    <row r="22" spans="1:25" x14ac:dyDescent="0.4">
      <c r="M22" s="469"/>
      <c r="N22" s="418"/>
      <c r="O22" s="418"/>
      <c r="P22" s="418"/>
      <c r="Q22" s="418"/>
      <c r="R22" s="45" t="s">
        <v>73</v>
      </c>
      <c r="S22" s="3" t="s">
        <v>63</v>
      </c>
      <c r="T22" s="3">
        <v>9</v>
      </c>
      <c r="U22" s="3">
        <v>38</v>
      </c>
      <c r="V22" s="3">
        <v>38</v>
      </c>
      <c r="W22" s="3">
        <v>38</v>
      </c>
      <c r="X22" s="3">
        <v>38</v>
      </c>
      <c r="Y22" s="3">
        <v>0</v>
      </c>
    </row>
    <row r="23" spans="1:25" x14ac:dyDescent="0.4">
      <c r="M23" s="469" t="s">
        <v>73</v>
      </c>
      <c r="N23" s="418" t="s">
        <v>61</v>
      </c>
      <c r="O23" s="418"/>
      <c r="P23" s="418"/>
      <c r="Q23" s="418"/>
      <c r="R23" s="45" t="s">
        <v>73</v>
      </c>
      <c r="S23" s="3" t="s">
        <v>62</v>
      </c>
      <c r="T23" s="3">
        <v>10</v>
      </c>
      <c r="U23" s="3">
        <v>36</v>
      </c>
      <c r="V23" s="3">
        <v>36</v>
      </c>
      <c r="W23" s="3">
        <v>36</v>
      </c>
      <c r="X23" s="3">
        <v>36</v>
      </c>
      <c r="Y23" s="3">
        <v>0</v>
      </c>
    </row>
    <row r="24" spans="1:25" x14ac:dyDescent="0.4">
      <c r="M24" s="469"/>
      <c r="N24" s="418"/>
      <c r="O24" s="418"/>
      <c r="P24" s="418"/>
      <c r="Q24" s="418"/>
      <c r="R24" s="45" t="s">
        <v>73</v>
      </c>
      <c r="S24" s="3" t="s">
        <v>63</v>
      </c>
      <c r="T24" s="3">
        <v>11</v>
      </c>
      <c r="U24" s="3">
        <v>34</v>
      </c>
      <c r="V24" s="3">
        <v>34</v>
      </c>
      <c r="W24" s="3">
        <v>34</v>
      </c>
      <c r="X24" s="3">
        <v>34</v>
      </c>
      <c r="Y24" s="3">
        <v>0</v>
      </c>
    </row>
    <row r="25" spans="1:25" x14ac:dyDescent="0.4">
      <c r="N25" s="472" t="s">
        <v>65</v>
      </c>
      <c r="O25" s="472"/>
      <c r="P25" s="472"/>
      <c r="Q25" s="472"/>
      <c r="R25" s="472"/>
      <c r="S25" s="472"/>
      <c r="T25" s="472"/>
      <c r="U25" s="472"/>
      <c r="V25" s="203"/>
    </row>
    <row r="26" spans="1:25" x14ac:dyDescent="0.4">
      <c r="N26" s="472"/>
      <c r="O26" s="472"/>
      <c r="P26" s="472"/>
      <c r="Q26" s="472"/>
      <c r="R26" s="472"/>
      <c r="S26" s="472"/>
      <c r="T26" s="472"/>
      <c r="U26" s="472"/>
      <c r="V26" s="203"/>
    </row>
    <row r="27" spans="1:25" x14ac:dyDescent="0.4">
      <c r="N27" s="472"/>
      <c r="O27" s="472"/>
      <c r="P27" s="472"/>
      <c r="Q27" s="472"/>
      <c r="R27" s="472"/>
      <c r="S27" s="472"/>
      <c r="T27" s="472"/>
      <c r="U27" s="472"/>
      <c r="V27" s="203"/>
    </row>
    <row r="28" spans="1:25" x14ac:dyDescent="0.4">
      <c r="N28" s="472"/>
      <c r="O28" s="472"/>
      <c r="P28" s="472"/>
      <c r="Q28" s="472"/>
      <c r="R28" s="472"/>
      <c r="S28" s="472"/>
      <c r="T28" s="472"/>
      <c r="U28" s="472"/>
      <c r="V28" s="203"/>
    </row>
    <row r="29" spans="1:25" x14ac:dyDescent="0.4">
      <c r="A29" t="s">
        <v>64</v>
      </c>
      <c r="N29" s="472"/>
      <c r="O29" s="472"/>
      <c r="P29" s="472"/>
      <c r="Q29" s="472"/>
      <c r="R29" s="472"/>
      <c r="S29" s="472"/>
      <c r="T29" s="472"/>
      <c r="U29" s="472"/>
      <c r="V29" s="203"/>
    </row>
    <row r="30" spans="1:25" ht="19.5" thickBot="1" x14ac:dyDescent="0.45">
      <c r="A30" s="469" t="s">
        <v>265</v>
      </c>
      <c r="B30" s="469"/>
      <c r="C30" s="3">
        <f>一次エネ消費量表紙!F98</f>
        <v>1</v>
      </c>
      <c r="L30" t="s">
        <v>64</v>
      </c>
    </row>
    <row r="31" spans="1:25" ht="18.75" customHeight="1" thickBot="1" x14ac:dyDescent="0.45">
      <c r="B31" s="4" t="s">
        <v>44</v>
      </c>
      <c r="C31" s="201">
        <f>HLOOKUP(暖房方式番号Z,照明設備配列6地域,C30+1,FALSE)</f>
        <v>9</v>
      </c>
      <c r="N31" s="471" t="s">
        <v>66</v>
      </c>
      <c r="O31" s="471"/>
      <c r="P31" s="471"/>
      <c r="Q31" s="471"/>
      <c r="R31" s="471"/>
      <c r="S31" s="471"/>
      <c r="T31" s="471"/>
      <c r="U31" s="471"/>
      <c r="V31" s="202"/>
    </row>
    <row r="32" spans="1:25" x14ac:dyDescent="0.4">
      <c r="N32" s="471"/>
      <c r="O32" s="471"/>
      <c r="P32" s="471"/>
      <c r="Q32" s="471"/>
      <c r="R32" s="471"/>
      <c r="S32" s="471"/>
      <c r="T32" s="471"/>
      <c r="U32" s="471"/>
      <c r="V32" s="202"/>
    </row>
    <row r="33" spans="13:25" ht="19.5" thickBot="1" x14ac:dyDescent="0.45">
      <c r="N33" s="471"/>
      <c r="O33" s="471"/>
      <c r="P33" s="471"/>
      <c r="Q33" s="471"/>
      <c r="R33" s="471"/>
      <c r="S33" s="471"/>
      <c r="T33" s="471"/>
      <c r="U33" s="471"/>
      <c r="V33" s="202"/>
    </row>
    <row r="34" spans="13:25" ht="19.5" thickBot="1" x14ac:dyDescent="0.45">
      <c r="M34" s="469" t="s">
        <v>50</v>
      </c>
      <c r="N34" s="469"/>
      <c r="O34" s="469"/>
      <c r="P34" s="469"/>
      <c r="Q34" s="469"/>
      <c r="R34" s="469"/>
      <c r="S34" s="469"/>
      <c r="T34" s="45"/>
      <c r="U34" s="51" t="s">
        <v>152</v>
      </c>
      <c r="V34" s="51" t="s">
        <v>277</v>
      </c>
      <c r="W34" s="51" t="s">
        <v>153</v>
      </c>
      <c r="X34" s="51" t="s">
        <v>154</v>
      </c>
      <c r="Y34" s="51" t="s">
        <v>155</v>
      </c>
    </row>
    <row r="35" spans="13:25" x14ac:dyDescent="0.4">
      <c r="M35" s="469" t="s">
        <v>67</v>
      </c>
      <c r="N35" s="469"/>
      <c r="O35" s="469"/>
      <c r="P35" s="469"/>
      <c r="Q35" s="469" t="s">
        <v>68</v>
      </c>
      <c r="R35" s="469"/>
      <c r="S35" s="469"/>
      <c r="T35" s="45"/>
      <c r="U35" s="3">
        <v>1</v>
      </c>
      <c r="V35" s="3">
        <v>2</v>
      </c>
      <c r="W35" s="3">
        <v>3</v>
      </c>
      <c r="X35" s="3">
        <v>4</v>
      </c>
      <c r="Y35" s="3">
        <v>5</v>
      </c>
    </row>
    <row r="36" spans="13:25" x14ac:dyDescent="0.4">
      <c r="M36" s="469" t="s">
        <v>73</v>
      </c>
      <c r="N36" s="418" t="s">
        <v>33</v>
      </c>
      <c r="O36" s="418"/>
      <c r="P36" s="418"/>
      <c r="Q36" s="45" t="s">
        <v>73</v>
      </c>
      <c r="R36" s="418" t="s">
        <v>69</v>
      </c>
      <c r="S36" s="418"/>
      <c r="T36" s="3">
        <v>1</v>
      </c>
      <c r="U36" s="3">
        <v>9</v>
      </c>
      <c r="V36" s="3">
        <v>9</v>
      </c>
      <c r="W36" s="3">
        <v>9</v>
      </c>
      <c r="X36" s="3">
        <v>9</v>
      </c>
      <c r="Y36" s="3">
        <v>0</v>
      </c>
    </row>
    <row r="37" spans="13:25" x14ac:dyDescent="0.4">
      <c r="M37" s="469"/>
      <c r="N37" s="418"/>
      <c r="O37" s="418"/>
      <c r="P37" s="418"/>
      <c r="Q37" s="45" t="s">
        <v>73</v>
      </c>
      <c r="R37" s="418" t="s">
        <v>70</v>
      </c>
      <c r="S37" s="418"/>
      <c r="T37" s="3">
        <v>2</v>
      </c>
      <c r="U37" s="3">
        <v>9</v>
      </c>
      <c r="V37" s="3">
        <v>9</v>
      </c>
      <c r="W37" s="3">
        <v>9</v>
      </c>
      <c r="X37" s="3">
        <v>9</v>
      </c>
      <c r="Y37" s="3">
        <v>0</v>
      </c>
    </row>
    <row r="38" spans="13:25" x14ac:dyDescent="0.4">
      <c r="M38" s="469"/>
      <c r="N38" s="418"/>
      <c r="O38" s="418"/>
      <c r="P38" s="418"/>
      <c r="Q38" s="45" t="s">
        <v>73</v>
      </c>
      <c r="R38" s="418" t="s">
        <v>71</v>
      </c>
      <c r="S38" s="418"/>
      <c r="T38" s="3">
        <v>3</v>
      </c>
      <c r="U38" s="3">
        <v>10</v>
      </c>
      <c r="V38" s="3">
        <v>10</v>
      </c>
      <c r="W38" s="3">
        <v>10</v>
      </c>
      <c r="X38" s="3">
        <v>10</v>
      </c>
      <c r="Y38" s="3">
        <v>0</v>
      </c>
    </row>
    <row r="39" spans="13:25" x14ac:dyDescent="0.4">
      <c r="M39" s="469"/>
      <c r="N39" s="418"/>
      <c r="O39" s="418"/>
      <c r="P39" s="418"/>
      <c r="Q39" s="45" t="s">
        <v>73</v>
      </c>
      <c r="R39" s="418" t="s">
        <v>72</v>
      </c>
      <c r="S39" s="418"/>
      <c r="T39" s="3">
        <v>4</v>
      </c>
      <c r="U39" s="3">
        <v>13</v>
      </c>
      <c r="V39" s="3">
        <v>13</v>
      </c>
      <c r="W39" s="3">
        <v>13</v>
      </c>
      <c r="X39" s="3">
        <v>13</v>
      </c>
      <c r="Y39" s="3">
        <v>0</v>
      </c>
    </row>
    <row r="40" spans="13:25" x14ac:dyDescent="0.4">
      <c r="M40" s="469" t="s">
        <v>73</v>
      </c>
      <c r="N40" s="418" t="s">
        <v>70</v>
      </c>
      <c r="O40" s="418"/>
      <c r="P40" s="418"/>
      <c r="Q40" s="45" t="s">
        <v>73</v>
      </c>
      <c r="R40" s="418" t="s">
        <v>69</v>
      </c>
      <c r="S40" s="418"/>
      <c r="T40" s="3">
        <v>5</v>
      </c>
      <c r="U40" s="3">
        <v>9</v>
      </c>
      <c r="V40" s="3">
        <v>9</v>
      </c>
      <c r="W40" s="3">
        <v>9</v>
      </c>
      <c r="X40" s="3">
        <v>9</v>
      </c>
      <c r="Y40" s="3">
        <v>0</v>
      </c>
    </row>
    <row r="41" spans="13:25" x14ac:dyDescent="0.4">
      <c r="M41" s="469"/>
      <c r="N41" s="418"/>
      <c r="O41" s="418"/>
      <c r="P41" s="418"/>
      <c r="Q41" s="45" t="s">
        <v>73</v>
      </c>
      <c r="R41" s="418" t="s">
        <v>70</v>
      </c>
      <c r="S41" s="418"/>
      <c r="T41" s="3">
        <v>6</v>
      </c>
      <c r="U41" s="3">
        <v>9</v>
      </c>
      <c r="V41" s="3">
        <v>9</v>
      </c>
      <c r="W41" s="3">
        <v>9</v>
      </c>
      <c r="X41" s="3">
        <v>9</v>
      </c>
      <c r="Y41" s="3">
        <v>0</v>
      </c>
    </row>
    <row r="42" spans="13:25" x14ac:dyDescent="0.4">
      <c r="M42" s="469"/>
      <c r="N42" s="418"/>
      <c r="O42" s="418"/>
      <c r="P42" s="418"/>
      <c r="Q42" s="45" t="s">
        <v>73</v>
      </c>
      <c r="R42" s="418" t="s">
        <v>71</v>
      </c>
      <c r="S42" s="418"/>
      <c r="T42" s="3">
        <v>7</v>
      </c>
      <c r="U42" s="3">
        <v>10</v>
      </c>
      <c r="V42" s="3">
        <v>10</v>
      </c>
      <c r="W42" s="3">
        <v>10</v>
      </c>
      <c r="X42" s="3">
        <v>10</v>
      </c>
      <c r="Y42" s="3">
        <v>0</v>
      </c>
    </row>
    <row r="43" spans="13:25" x14ac:dyDescent="0.4">
      <c r="M43" s="469"/>
      <c r="N43" s="418"/>
      <c r="O43" s="418"/>
      <c r="P43" s="418"/>
      <c r="Q43" s="45" t="s">
        <v>73</v>
      </c>
      <c r="R43" s="418" t="s">
        <v>72</v>
      </c>
      <c r="S43" s="418"/>
      <c r="T43" s="3">
        <v>8</v>
      </c>
      <c r="U43" s="3">
        <v>13</v>
      </c>
      <c r="V43" s="3">
        <v>13</v>
      </c>
      <c r="W43" s="3">
        <v>13</v>
      </c>
      <c r="X43" s="3">
        <v>13</v>
      </c>
      <c r="Y43" s="3">
        <v>0</v>
      </c>
    </row>
    <row r="44" spans="13:25" x14ac:dyDescent="0.4">
      <c r="M44" s="469" t="s">
        <v>73</v>
      </c>
      <c r="N44" s="418" t="s">
        <v>71</v>
      </c>
      <c r="O44" s="418"/>
      <c r="P44" s="418"/>
      <c r="Q44" s="45" t="s">
        <v>73</v>
      </c>
      <c r="R44" s="418" t="s">
        <v>69</v>
      </c>
      <c r="S44" s="418"/>
      <c r="T44" s="3">
        <v>9</v>
      </c>
      <c r="U44" s="3">
        <v>11</v>
      </c>
      <c r="V44" s="3">
        <v>11</v>
      </c>
      <c r="W44" s="3">
        <v>11</v>
      </c>
      <c r="X44" s="3">
        <v>11</v>
      </c>
      <c r="Y44" s="3">
        <v>0</v>
      </c>
    </row>
    <row r="45" spans="13:25" x14ac:dyDescent="0.4">
      <c r="M45" s="469"/>
      <c r="N45" s="418"/>
      <c r="O45" s="418"/>
      <c r="P45" s="418"/>
      <c r="Q45" s="45" t="s">
        <v>73</v>
      </c>
      <c r="R45" s="418" t="s">
        <v>70</v>
      </c>
      <c r="S45" s="418"/>
      <c r="T45" s="3">
        <v>10</v>
      </c>
      <c r="U45" s="3">
        <v>11</v>
      </c>
      <c r="V45" s="3">
        <v>11</v>
      </c>
      <c r="W45" s="3">
        <v>11</v>
      </c>
      <c r="X45" s="3">
        <v>11</v>
      </c>
      <c r="Y45" s="3">
        <v>0</v>
      </c>
    </row>
    <row r="46" spans="13:25" x14ac:dyDescent="0.4">
      <c r="M46" s="469"/>
      <c r="N46" s="418"/>
      <c r="O46" s="418"/>
      <c r="P46" s="418"/>
      <c r="Q46" s="45" t="s">
        <v>73</v>
      </c>
      <c r="R46" s="418" t="s">
        <v>71</v>
      </c>
      <c r="S46" s="418"/>
      <c r="T46" s="3">
        <v>11</v>
      </c>
      <c r="U46" s="3">
        <v>11</v>
      </c>
      <c r="V46" s="3">
        <v>11</v>
      </c>
      <c r="W46" s="3">
        <v>11</v>
      </c>
      <c r="X46" s="3">
        <v>11</v>
      </c>
      <c r="Y46" s="3">
        <v>0</v>
      </c>
    </row>
    <row r="47" spans="13:25" x14ac:dyDescent="0.4">
      <c r="M47" s="469"/>
      <c r="N47" s="418"/>
      <c r="O47" s="418"/>
      <c r="P47" s="418"/>
      <c r="Q47" s="45" t="s">
        <v>73</v>
      </c>
      <c r="R47" s="418" t="s">
        <v>72</v>
      </c>
      <c r="S47" s="418"/>
      <c r="T47" s="3">
        <v>12</v>
      </c>
      <c r="U47" s="3">
        <v>14</v>
      </c>
      <c r="V47" s="3">
        <v>14</v>
      </c>
      <c r="W47" s="3">
        <v>14</v>
      </c>
      <c r="X47" s="3">
        <v>14</v>
      </c>
      <c r="Y47" s="3">
        <v>0</v>
      </c>
    </row>
    <row r="48" spans="13:25" x14ac:dyDescent="0.4">
      <c r="M48" s="469" t="s">
        <v>73</v>
      </c>
      <c r="N48" s="418" t="s">
        <v>72</v>
      </c>
      <c r="O48" s="418"/>
      <c r="P48" s="418"/>
      <c r="Q48" s="45" t="s">
        <v>73</v>
      </c>
      <c r="R48" s="418" t="s">
        <v>69</v>
      </c>
      <c r="S48" s="418"/>
      <c r="T48" s="3">
        <v>13</v>
      </c>
      <c r="U48" s="3">
        <v>15</v>
      </c>
      <c r="V48" s="3">
        <v>15</v>
      </c>
      <c r="W48" s="3">
        <v>15</v>
      </c>
      <c r="X48" s="3">
        <v>15</v>
      </c>
      <c r="Y48" s="3">
        <v>0</v>
      </c>
    </row>
    <row r="49" spans="13:25" x14ac:dyDescent="0.4">
      <c r="M49" s="469"/>
      <c r="N49" s="418"/>
      <c r="O49" s="418"/>
      <c r="P49" s="418"/>
      <c r="Q49" s="45" t="s">
        <v>73</v>
      </c>
      <c r="R49" s="418" t="s">
        <v>70</v>
      </c>
      <c r="S49" s="418"/>
      <c r="T49" s="3">
        <v>14</v>
      </c>
      <c r="U49" s="3">
        <v>15</v>
      </c>
      <c r="V49" s="3">
        <v>15</v>
      </c>
      <c r="W49" s="3">
        <v>15</v>
      </c>
      <c r="X49" s="3">
        <v>15</v>
      </c>
      <c r="Y49" s="3">
        <v>0</v>
      </c>
    </row>
    <row r="50" spans="13:25" x14ac:dyDescent="0.4">
      <c r="M50" s="469"/>
      <c r="N50" s="418"/>
      <c r="O50" s="418"/>
      <c r="P50" s="418"/>
      <c r="Q50" s="45" t="s">
        <v>73</v>
      </c>
      <c r="R50" s="418" t="s">
        <v>71</v>
      </c>
      <c r="S50" s="418"/>
      <c r="T50" s="3">
        <v>15</v>
      </c>
      <c r="U50" s="3">
        <v>16</v>
      </c>
      <c r="V50" s="3">
        <v>16</v>
      </c>
      <c r="W50" s="3">
        <v>16</v>
      </c>
      <c r="X50" s="3">
        <v>16</v>
      </c>
      <c r="Y50" s="3">
        <v>0</v>
      </c>
    </row>
    <row r="51" spans="13:25" x14ac:dyDescent="0.4">
      <c r="M51" s="469"/>
      <c r="N51" s="418"/>
      <c r="O51" s="418"/>
      <c r="P51" s="418"/>
      <c r="Q51" s="45" t="s">
        <v>73</v>
      </c>
      <c r="R51" s="418" t="s">
        <v>72</v>
      </c>
      <c r="S51" s="418"/>
      <c r="T51" s="3">
        <v>16</v>
      </c>
      <c r="U51" s="3">
        <v>18</v>
      </c>
      <c r="V51" s="3">
        <v>18</v>
      </c>
      <c r="W51" s="3">
        <v>18</v>
      </c>
      <c r="X51" s="3">
        <v>18</v>
      </c>
      <c r="Y51" s="3">
        <v>0</v>
      </c>
    </row>
    <row r="52" spans="13:25" x14ac:dyDescent="0.4">
      <c r="N52" s="471" t="s">
        <v>74</v>
      </c>
      <c r="O52" s="471"/>
      <c r="P52" s="471"/>
      <c r="Q52" s="471"/>
      <c r="R52" s="471"/>
      <c r="S52" s="471"/>
      <c r="T52" s="471"/>
      <c r="U52" s="471"/>
      <c r="V52" s="202"/>
    </row>
    <row r="53" spans="13:25" x14ac:dyDescent="0.4">
      <c r="N53" s="471"/>
      <c r="O53" s="471"/>
      <c r="P53" s="471"/>
      <c r="Q53" s="471"/>
      <c r="R53" s="471"/>
      <c r="S53" s="471"/>
      <c r="T53" s="471"/>
      <c r="U53" s="471"/>
      <c r="V53" s="202"/>
    </row>
    <row r="54" spans="13:25" x14ac:dyDescent="0.4">
      <c r="N54" s="471"/>
      <c r="O54" s="471"/>
      <c r="P54" s="471"/>
      <c r="Q54" s="471"/>
      <c r="R54" s="471"/>
      <c r="S54" s="471"/>
      <c r="T54" s="471"/>
      <c r="U54" s="471"/>
      <c r="V54" s="202"/>
    </row>
  </sheetData>
  <sheetProtection algorithmName="SHA-512" hashValue="EbgL2jc2RcUWtV0CwP9Op8kCyZORYtMgL0g+yXcbJl/oB3bieCvTsg+xSsTzJVHwFWI2ytqPiHCseb7+7Uzq6Q==" saltValue="kyBOgTFeCk7bfRWDhQL1wg==" spinCount="100000" sheet="1" objects="1" scenarios="1" selectLockedCells="1"/>
  <mergeCells count="52">
    <mergeCell ref="U4:Y4"/>
    <mergeCell ref="A4:B4"/>
    <mergeCell ref="A11:B11"/>
    <mergeCell ref="A30:B30"/>
    <mergeCell ref="M17:M18"/>
    <mergeCell ref="N17:Q18"/>
    <mergeCell ref="M5:S5"/>
    <mergeCell ref="N6:S6"/>
    <mergeCell ref="N7:S7"/>
    <mergeCell ref="N8:S8"/>
    <mergeCell ref="N9:S9"/>
    <mergeCell ref="M13:Q13"/>
    <mergeCell ref="R13:S13"/>
    <mergeCell ref="N14:Q14"/>
    <mergeCell ref="M15:M16"/>
    <mergeCell ref="N15:Q16"/>
    <mergeCell ref="M19:M20"/>
    <mergeCell ref="N19:Q20"/>
    <mergeCell ref="M21:M22"/>
    <mergeCell ref="N21:Q22"/>
    <mergeCell ref="M23:M24"/>
    <mergeCell ref="N23:Q24"/>
    <mergeCell ref="N25:U29"/>
    <mergeCell ref="N31:U33"/>
    <mergeCell ref="M34:S34"/>
    <mergeCell ref="M35:P35"/>
    <mergeCell ref="Q35:S35"/>
    <mergeCell ref="M36:M39"/>
    <mergeCell ref="N36:P39"/>
    <mergeCell ref="R36:S36"/>
    <mergeCell ref="R37:S37"/>
    <mergeCell ref="R38:S38"/>
    <mergeCell ref="R39:S39"/>
    <mergeCell ref="M40:M43"/>
    <mergeCell ref="N40:P43"/>
    <mergeCell ref="R40:S40"/>
    <mergeCell ref="R41:S41"/>
    <mergeCell ref="R42:S42"/>
    <mergeCell ref="R43:S43"/>
    <mergeCell ref="M44:M47"/>
    <mergeCell ref="N44:P47"/>
    <mergeCell ref="R44:S44"/>
    <mergeCell ref="R45:S45"/>
    <mergeCell ref="R46:S46"/>
    <mergeCell ref="R47:S47"/>
    <mergeCell ref="N52:U54"/>
    <mergeCell ref="M48:M51"/>
    <mergeCell ref="N48:P51"/>
    <mergeCell ref="R48:S48"/>
    <mergeCell ref="R49:S49"/>
    <mergeCell ref="R50:S50"/>
    <mergeCell ref="R51:S51"/>
  </mergeCells>
  <phoneticPr fontId="1"/>
  <pageMargins left="0.70866141732283472" right="0.11811023622047245"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D1EE3-5FBC-4871-B880-CBB6C6DDD6E5}">
  <dimension ref="A1:AZ100"/>
  <sheetViews>
    <sheetView view="pageBreakPreview" topLeftCell="BB1" zoomScale="70" zoomScaleNormal="55" zoomScaleSheetLayoutView="70" workbookViewId="0">
      <selection sqref="A1:BA1048576"/>
    </sheetView>
  </sheetViews>
  <sheetFormatPr defaultRowHeight="18.75" x14ac:dyDescent="0.4"/>
  <cols>
    <col min="1" max="13" width="0" hidden="1" customWidth="1"/>
    <col min="14" max="14" width="6.875" hidden="1" customWidth="1"/>
    <col min="15" max="15" width="3.5" hidden="1" customWidth="1"/>
    <col min="16" max="16" width="5.75" hidden="1" customWidth="1"/>
    <col min="17" max="17" width="4.75" hidden="1" customWidth="1"/>
    <col min="18" max="18" width="6.625" hidden="1" customWidth="1"/>
    <col min="19" max="19" width="6.375" hidden="1" customWidth="1"/>
    <col min="20" max="20" width="4.875" hidden="1" customWidth="1"/>
    <col min="21" max="21" width="0" hidden="1" customWidth="1"/>
    <col min="22" max="22" width="3.75" hidden="1" customWidth="1"/>
    <col min="23" max="23" width="6" hidden="1" customWidth="1"/>
    <col min="24" max="24" width="10.875" hidden="1" customWidth="1"/>
    <col min="25" max="25" width="1.125" hidden="1" customWidth="1"/>
    <col min="26" max="26" width="4.875" hidden="1" customWidth="1"/>
    <col min="27" max="27" width="4.625" hidden="1" customWidth="1"/>
    <col min="28" max="28" width="0" hidden="1" customWidth="1"/>
    <col min="29" max="29" width="4" hidden="1" customWidth="1"/>
    <col min="30" max="30" width="5.375" hidden="1" customWidth="1"/>
    <col min="31" max="31" width="0" hidden="1" customWidth="1"/>
    <col min="32" max="32" width="1.375" hidden="1" customWidth="1"/>
    <col min="33" max="33" width="4.875" hidden="1" customWidth="1"/>
    <col min="34" max="34" width="4.625" hidden="1" customWidth="1"/>
    <col min="35" max="35" width="0" hidden="1" customWidth="1"/>
    <col min="36" max="36" width="4" hidden="1" customWidth="1"/>
    <col min="37" max="37" width="5.375" hidden="1" customWidth="1"/>
    <col min="38" max="38" width="0" hidden="1" customWidth="1"/>
    <col min="39" max="39" width="1.125" hidden="1" customWidth="1"/>
    <col min="40" max="40" width="4.875" hidden="1" customWidth="1"/>
    <col min="41" max="41" width="4.625" hidden="1" customWidth="1"/>
    <col min="42" max="42" width="0" hidden="1" customWidth="1"/>
    <col min="43" max="43" width="4" hidden="1" customWidth="1"/>
    <col min="44" max="44" width="5.375" hidden="1" customWidth="1"/>
    <col min="45" max="45" width="0" hidden="1" customWidth="1"/>
    <col min="46" max="46" width="1" hidden="1" customWidth="1"/>
    <col min="47" max="47" width="4.875" hidden="1" customWidth="1"/>
    <col min="48" max="48" width="4.625" hidden="1" customWidth="1"/>
    <col min="49" max="49" width="0" hidden="1" customWidth="1"/>
    <col min="50" max="50" width="4" hidden="1" customWidth="1"/>
    <col min="51" max="51" width="5.375" hidden="1" customWidth="1"/>
    <col min="52" max="53" width="0" hidden="1" customWidth="1"/>
  </cols>
  <sheetData>
    <row r="1" spans="1:52" x14ac:dyDescent="0.4">
      <c r="N1" t="s">
        <v>6</v>
      </c>
      <c r="Q1" t="s">
        <v>160</v>
      </c>
    </row>
    <row r="3" spans="1:52" x14ac:dyDescent="0.4">
      <c r="N3" s="418" t="s">
        <v>32</v>
      </c>
      <c r="O3" s="418"/>
      <c r="P3" s="418" t="s">
        <v>30</v>
      </c>
      <c r="Q3" s="418"/>
      <c r="R3" s="418"/>
      <c r="S3" s="418" t="s">
        <v>33</v>
      </c>
      <c r="T3" s="418"/>
      <c r="U3" s="418"/>
      <c r="V3" s="418"/>
      <c r="W3" s="418"/>
      <c r="X3" s="418"/>
      <c r="Z3" s="418" t="s">
        <v>83</v>
      </c>
      <c r="AA3" s="418"/>
      <c r="AB3" s="418"/>
      <c r="AC3" s="418"/>
      <c r="AD3" s="418"/>
      <c r="AE3" s="418"/>
      <c r="AG3" s="418" t="s">
        <v>134</v>
      </c>
      <c r="AH3" s="418"/>
      <c r="AI3" s="418"/>
      <c r="AJ3" s="418"/>
      <c r="AK3" s="418"/>
      <c r="AL3" s="418"/>
      <c r="AN3" s="418" t="s">
        <v>136</v>
      </c>
      <c r="AO3" s="418"/>
      <c r="AP3" s="418"/>
      <c r="AQ3" s="418"/>
      <c r="AR3" s="418"/>
      <c r="AS3" s="418"/>
      <c r="AU3" s="418" t="s">
        <v>280</v>
      </c>
      <c r="AV3" s="418"/>
      <c r="AW3" s="418"/>
      <c r="AX3" s="418"/>
      <c r="AY3" s="418"/>
      <c r="AZ3" s="418"/>
    </row>
    <row r="4" spans="1:52" x14ac:dyDescent="0.4">
      <c r="N4" s="418"/>
      <c r="O4" s="418"/>
      <c r="P4" s="418" t="s">
        <v>31</v>
      </c>
      <c r="Q4" s="418"/>
      <c r="R4" s="418"/>
      <c r="S4" s="418" t="s">
        <v>33</v>
      </c>
      <c r="T4" s="418"/>
      <c r="U4" s="418"/>
      <c r="V4" s="418"/>
      <c r="W4" s="418"/>
      <c r="X4" s="418"/>
      <c r="Z4" s="418" t="s">
        <v>83</v>
      </c>
      <c r="AA4" s="418"/>
      <c r="AB4" s="418"/>
      <c r="AC4" s="418"/>
      <c r="AD4" s="418"/>
      <c r="AE4" s="418"/>
      <c r="AG4" s="418" t="s">
        <v>83</v>
      </c>
      <c r="AH4" s="418"/>
      <c r="AI4" s="418"/>
      <c r="AJ4" s="418"/>
      <c r="AK4" s="418"/>
      <c r="AL4" s="418"/>
      <c r="AN4" s="418" t="s">
        <v>83</v>
      </c>
      <c r="AO4" s="418"/>
      <c r="AP4" s="418"/>
      <c r="AQ4" s="418"/>
      <c r="AR4" s="418"/>
      <c r="AS4" s="418"/>
      <c r="AU4" s="418" t="s">
        <v>281</v>
      </c>
      <c r="AV4" s="418"/>
      <c r="AW4" s="418"/>
      <c r="AX4" s="418"/>
      <c r="AY4" s="418"/>
      <c r="AZ4" s="418"/>
    </row>
    <row r="5" spans="1:52" x14ac:dyDescent="0.4">
      <c r="S5" t="s">
        <v>156</v>
      </c>
      <c r="Z5" t="s">
        <v>157</v>
      </c>
      <c r="AG5" t="s">
        <v>158</v>
      </c>
      <c r="AN5" t="s">
        <v>159</v>
      </c>
      <c r="AU5" t="s">
        <v>283</v>
      </c>
    </row>
    <row r="6" spans="1:52" x14ac:dyDescent="0.4">
      <c r="M6" t="s">
        <v>40</v>
      </c>
      <c r="S6" s="209"/>
      <c r="T6" s="209"/>
      <c r="U6" s="209"/>
      <c r="V6" s="209">
        <v>1</v>
      </c>
      <c r="W6" s="209"/>
      <c r="X6" s="209"/>
      <c r="Y6" s="209"/>
      <c r="Z6" s="209"/>
      <c r="AA6" s="209"/>
      <c r="AB6" s="209"/>
      <c r="AC6" s="209">
        <v>3</v>
      </c>
      <c r="AD6" s="209"/>
      <c r="AE6" s="209"/>
      <c r="AF6" s="209"/>
      <c r="AG6" s="209"/>
      <c r="AH6" s="209"/>
      <c r="AI6" s="209"/>
      <c r="AJ6" s="209">
        <v>4</v>
      </c>
      <c r="AK6" s="209"/>
      <c r="AL6" s="209"/>
      <c r="AM6" s="209"/>
      <c r="AN6" s="209"/>
      <c r="AO6" s="209"/>
      <c r="AP6" s="209"/>
      <c r="AQ6" s="209">
        <v>5</v>
      </c>
      <c r="AR6" s="209"/>
      <c r="AS6" s="209"/>
      <c r="AT6" s="209"/>
      <c r="AU6" s="210"/>
      <c r="AV6" s="210"/>
      <c r="AW6" s="210"/>
      <c r="AX6" s="210">
        <v>2</v>
      </c>
      <c r="AY6" s="210"/>
      <c r="AZ6" s="210"/>
    </row>
    <row r="7" spans="1:52" x14ac:dyDescent="0.4">
      <c r="A7" s="3" t="s">
        <v>228</v>
      </c>
      <c r="B7" s="153">
        <f>一次エネ消費量表紙!AE20</f>
        <v>0.64</v>
      </c>
      <c r="D7" s="444" t="s">
        <v>255</v>
      </c>
      <c r="E7" s="445"/>
      <c r="F7" s="446"/>
      <c r="G7" s="3">
        <f>IF(G9&gt;0,1,0)</f>
        <v>1</v>
      </c>
      <c r="S7" s="467" t="s">
        <v>169</v>
      </c>
      <c r="T7" s="467"/>
      <c r="U7" s="467"/>
      <c r="V7" s="467"/>
      <c r="W7" s="467"/>
      <c r="X7" s="467"/>
      <c r="Z7" s="467" t="s">
        <v>169</v>
      </c>
      <c r="AA7" s="467"/>
      <c r="AB7" s="467"/>
      <c r="AC7" s="467"/>
      <c r="AD7" s="467"/>
      <c r="AE7" s="467"/>
      <c r="AG7" s="467" t="s">
        <v>171</v>
      </c>
      <c r="AH7" s="467"/>
      <c r="AI7" s="467"/>
      <c r="AJ7" s="467"/>
      <c r="AK7" s="467"/>
      <c r="AL7" s="467"/>
      <c r="AN7" s="467" t="s">
        <v>171</v>
      </c>
      <c r="AO7" s="467"/>
      <c r="AP7" s="467"/>
      <c r="AQ7" s="467"/>
      <c r="AR7" s="467"/>
      <c r="AS7" s="467"/>
      <c r="AU7" s="80"/>
      <c r="AV7" s="80"/>
      <c r="AW7" s="80"/>
      <c r="AX7" s="80"/>
      <c r="AY7" s="80"/>
      <c r="AZ7" s="80"/>
    </row>
    <row r="8" spans="1:52" x14ac:dyDescent="0.4">
      <c r="A8" s="3" t="s">
        <v>204</v>
      </c>
      <c r="B8" s="152">
        <f>一次エネ消費量表紙!AE22</f>
        <v>2.1</v>
      </c>
      <c r="D8" s="444" t="s">
        <v>256</v>
      </c>
      <c r="E8" s="445"/>
      <c r="F8" s="446"/>
      <c r="G8" s="3">
        <f>IF(G10&gt;0,1,0)</f>
        <v>1</v>
      </c>
      <c r="S8" s="467"/>
      <c r="T8" s="467"/>
      <c r="U8" s="467"/>
      <c r="V8" s="467"/>
      <c r="W8" s="467"/>
      <c r="X8" s="467"/>
      <c r="Z8" s="467"/>
      <c r="AA8" s="467"/>
      <c r="AB8" s="467"/>
      <c r="AC8" s="467"/>
      <c r="AD8" s="467"/>
      <c r="AE8" s="467"/>
      <c r="AG8" s="467"/>
      <c r="AH8" s="467"/>
      <c r="AI8" s="467"/>
      <c r="AJ8" s="467"/>
      <c r="AK8" s="467"/>
      <c r="AL8" s="467"/>
      <c r="AN8" s="467"/>
      <c r="AO8" s="467"/>
      <c r="AP8" s="467"/>
      <c r="AQ8" s="467"/>
      <c r="AR8" s="467"/>
      <c r="AS8" s="467"/>
      <c r="AU8" s="80"/>
      <c r="AV8" s="80"/>
      <c r="AW8" s="80"/>
      <c r="AX8" s="80"/>
      <c r="AY8" s="80"/>
      <c r="AZ8" s="80"/>
    </row>
    <row r="9" spans="1:52" x14ac:dyDescent="0.4">
      <c r="A9" s="3" t="s">
        <v>203</v>
      </c>
      <c r="B9" s="152">
        <f>一次エネ消費量表紙!AE21</f>
        <v>2.2000000000000002</v>
      </c>
      <c r="D9" s="418" t="s">
        <v>257</v>
      </c>
      <c r="E9" s="418"/>
      <c r="F9" s="418"/>
      <c r="G9" s="3">
        <f>B53</f>
        <v>16</v>
      </c>
      <c r="S9" s="467"/>
      <c r="T9" s="467"/>
      <c r="U9" s="467"/>
      <c r="V9" s="467"/>
      <c r="W9" s="467"/>
      <c r="X9" s="467"/>
      <c r="Z9" s="467"/>
      <c r="AA9" s="467"/>
      <c r="AB9" s="467"/>
      <c r="AC9" s="467"/>
      <c r="AD9" s="467"/>
      <c r="AE9" s="467"/>
      <c r="AG9" s="467"/>
      <c r="AH9" s="467"/>
      <c r="AI9" s="467"/>
      <c r="AJ9" s="467"/>
      <c r="AK9" s="467"/>
      <c r="AL9" s="467"/>
      <c r="AN9" s="467"/>
      <c r="AO9" s="467"/>
      <c r="AP9" s="467"/>
      <c r="AQ9" s="467"/>
      <c r="AR9" s="467"/>
      <c r="AS9" s="467"/>
      <c r="AU9" s="80"/>
      <c r="AV9" s="80"/>
      <c r="AW9" s="80"/>
      <c r="AX9" s="80"/>
      <c r="AY9" s="80"/>
      <c r="AZ9" s="80"/>
    </row>
    <row r="10" spans="1:52" x14ac:dyDescent="0.4">
      <c r="A10" s="85" t="s">
        <v>243</v>
      </c>
      <c r="B10" s="3">
        <f>一次エネ消費量表紙!C15</f>
        <v>1</v>
      </c>
      <c r="D10" s="418" t="s">
        <v>258</v>
      </c>
      <c r="E10" s="418"/>
      <c r="F10" s="418"/>
      <c r="G10" s="3">
        <f>B99</f>
        <v>13</v>
      </c>
      <c r="S10" s="467"/>
      <c r="T10" s="467"/>
      <c r="U10" s="467"/>
      <c r="V10" s="467"/>
      <c r="W10" s="467"/>
      <c r="X10" s="467"/>
      <c r="Z10" s="467"/>
      <c r="AA10" s="467"/>
      <c r="AB10" s="467"/>
      <c r="AC10" s="467"/>
      <c r="AD10" s="467"/>
      <c r="AE10" s="467"/>
      <c r="AG10" s="467"/>
      <c r="AH10" s="467"/>
      <c r="AI10" s="467"/>
      <c r="AJ10" s="467"/>
      <c r="AK10" s="467"/>
      <c r="AL10" s="467"/>
      <c r="AN10" s="467"/>
      <c r="AO10" s="467"/>
      <c r="AP10" s="467"/>
      <c r="AQ10" s="467"/>
      <c r="AR10" s="467"/>
      <c r="AS10" s="467"/>
      <c r="AU10" s="80"/>
      <c r="AV10" s="80"/>
      <c r="AW10" s="80"/>
      <c r="AX10" s="80"/>
      <c r="AY10" s="80"/>
      <c r="AZ10" s="80"/>
    </row>
    <row r="11" spans="1:52" x14ac:dyDescent="0.4">
      <c r="S11" s="467"/>
      <c r="T11" s="467"/>
      <c r="U11" s="467"/>
      <c r="V11" s="467"/>
      <c r="W11" s="467"/>
      <c r="X11" s="467"/>
      <c r="Z11" s="467"/>
      <c r="AA11" s="467"/>
      <c r="AB11" s="467"/>
      <c r="AC11" s="467"/>
      <c r="AD11" s="467"/>
      <c r="AE11" s="467"/>
      <c r="AG11" s="467"/>
      <c r="AH11" s="467"/>
      <c r="AI11" s="467"/>
      <c r="AJ11" s="467"/>
      <c r="AK11" s="467"/>
      <c r="AL11" s="467"/>
      <c r="AN11" s="467"/>
      <c r="AO11" s="467"/>
      <c r="AP11" s="467"/>
      <c r="AQ11" s="467"/>
      <c r="AR11" s="467"/>
      <c r="AS11" s="467"/>
      <c r="AU11" s="80"/>
      <c r="AV11" s="80"/>
      <c r="AW11" s="80"/>
      <c r="AX11" s="80"/>
      <c r="AY11" s="80"/>
      <c r="AZ11" s="80"/>
    </row>
    <row r="12" spans="1:52" x14ac:dyDescent="0.4">
      <c r="B12" s="444" t="s">
        <v>231</v>
      </c>
      <c r="C12" s="445"/>
      <c r="D12" s="445"/>
      <c r="E12" s="445"/>
      <c r="F12" s="445"/>
      <c r="G12" s="445"/>
      <c r="H12" s="445"/>
      <c r="I12" s="445"/>
      <c r="J12" s="446"/>
      <c r="K12" s="12"/>
      <c r="S12" s="467"/>
      <c r="T12" s="467"/>
      <c r="U12" s="467"/>
      <c r="V12" s="467"/>
      <c r="W12" s="467"/>
      <c r="X12" s="467"/>
      <c r="Z12" s="467"/>
      <c r="AA12" s="467"/>
      <c r="AB12" s="467"/>
      <c r="AC12" s="467"/>
      <c r="AD12" s="467"/>
      <c r="AE12" s="467"/>
      <c r="AG12" s="467"/>
      <c r="AH12" s="467"/>
      <c r="AI12" s="467"/>
      <c r="AJ12" s="467"/>
      <c r="AK12" s="467"/>
      <c r="AL12" s="467"/>
      <c r="AN12" s="467"/>
      <c r="AO12" s="467"/>
      <c r="AP12" s="467"/>
      <c r="AQ12" s="467"/>
      <c r="AR12" s="467"/>
      <c r="AS12" s="467"/>
      <c r="AU12" s="80"/>
      <c r="AV12" s="80"/>
      <c r="AW12" s="80"/>
      <c r="AX12" s="80"/>
      <c r="AY12" s="80"/>
      <c r="AZ12" s="80"/>
    </row>
    <row r="13" spans="1:52" ht="19.5" thickBot="1" x14ac:dyDescent="0.45">
      <c r="B13" s="451" t="s">
        <v>235</v>
      </c>
      <c r="C13" s="452"/>
      <c r="D13" s="454" t="s">
        <v>45</v>
      </c>
      <c r="E13" s="454" t="s">
        <v>203</v>
      </c>
      <c r="F13" s="475" t="s">
        <v>44</v>
      </c>
      <c r="G13" s="476"/>
      <c r="H13" s="476"/>
      <c r="I13" s="476"/>
      <c r="J13" s="477"/>
      <c r="K13" s="12"/>
      <c r="S13" s="468"/>
      <c r="T13" s="468"/>
      <c r="U13" s="468"/>
      <c r="V13" s="468"/>
      <c r="W13" s="468"/>
      <c r="X13" s="468"/>
      <c r="Z13" s="468"/>
      <c r="AA13" s="468"/>
      <c r="AB13" s="468"/>
      <c r="AC13" s="468"/>
      <c r="AD13" s="468"/>
      <c r="AE13" s="468"/>
      <c r="AG13" s="468"/>
      <c r="AH13" s="468"/>
      <c r="AI13" s="468"/>
      <c r="AJ13" s="468"/>
      <c r="AK13" s="468"/>
      <c r="AL13" s="468"/>
      <c r="AN13" s="468"/>
      <c r="AO13" s="468"/>
      <c r="AP13" s="468"/>
      <c r="AQ13" s="468"/>
      <c r="AR13" s="468"/>
      <c r="AS13" s="468"/>
      <c r="AU13" s="81"/>
      <c r="AV13" s="81"/>
      <c r="AW13" s="81"/>
      <c r="AX13" s="81"/>
      <c r="AY13" s="81"/>
      <c r="AZ13" s="81"/>
    </row>
    <row r="14" spans="1:52" ht="19.5" thickBot="1" x14ac:dyDescent="0.45">
      <c r="A14" s="3" t="s">
        <v>244</v>
      </c>
      <c r="B14" s="41" t="s">
        <v>44</v>
      </c>
      <c r="C14" s="42" t="s">
        <v>242</v>
      </c>
      <c r="D14" s="455"/>
      <c r="E14" s="455"/>
      <c r="F14" s="211">
        <v>1</v>
      </c>
      <c r="G14" s="211">
        <v>2</v>
      </c>
      <c r="H14" s="211">
        <v>3</v>
      </c>
      <c r="I14" s="211">
        <v>4</v>
      </c>
      <c r="J14" s="211">
        <v>5</v>
      </c>
      <c r="N14" s="460" t="s">
        <v>41</v>
      </c>
      <c r="O14" s="461"/>
      <c r="P14" s="461"/>
      <c r="Q14" s="461"/>
      <c r="R14" s="461"/>
      <c r="S14" s="461" t="s">
        <v>34</v>
      </c>
      <c r="T14" s="461"/>
      <c r="U14" s="461"/>
      <c r="V14" s="461"/>
      <c r="W14" s="461"/>
      <c r="X14" s="55" t="s">
        <v>44</v>
      </c>
      <c r="Y14" s="50"/>
      <c r="Z14" s="461" t="s">
        <v>34</v>
      </c>
      <c r="AA14" s="461"/>
      <c r="AB14" s="461"/>
      <c r="AC14" s="461"/>
      <c r="AD14" s="461"/>
      <c r="AE14" s="55" t="s">
        <v>44</v>
      </c>
      <c r="AF14" s="50"/>
      <c r="AG14" s="461" t="s">
        <v>34</v>
      </c>
      <c r="AH14" s="461"/>
      <c r="AI14" s="461"/>
      <c r="AJ14" s="461"/>
      <c r="AK14" s="461"/>
      <c r="AL14" s="55" t="s">
        <v>44</v>
      </c>
      <c r="AM14" s="50"/>
      <c r="AN14" s="461" t="s">
        <v>34</v>
      </c>
      <c r="AO14" s="461"/>
      <c r="AP14" s="461"/>
      <c r="AQ14" s="461"/>
      <c r="AR14" s="461"/>
      <c r="AS14" s="56" t="s">
        <v>44</v>
      </c>
      <c r="AU14" s="461" t="s">
        <v>34</v>
      </c>
      <c r="AV14" s="461"/>
      <c r="AW14" s="461"/>
      <c r="AX14" s="461"/>
      <c r="AY14" s="461"/>
      <c r="AZ14" s="56" t="s">
        <v>44</v>
      </c>
    </row>
    <row r="15" spans="1:52" x14ac:dyDescent="0.4">
      <c r="A15" s="38">
        <v>1</v>
      </c>
      <c r="B15" s="166">
        <f t="shared" ref="B15:B52" si="0">IF(C15=1,INDEX(暖房設備配列7地域,A15,暖房方式番号Z),0)</f>
        <v>16</v>
      </c>
      <c r="C15" s="37">
        <f t="shared" ref="C15:C25" si="1">IF(AND(D15=1,E15=1),1,0)</f>
        <v>1</v>
      </c>
      <c r="D15" s="40">
        <f>IF(UA値z&lt;=R15,1,0)</f>
        <v>1</v>
      </c>
      <c r="E15" s="40">
        <f>IF(AND(S15&lt;=ηAH,ηAH&lt;W15),1,0)</f>
        <v>1</v>
      </c>
      <c r="F15" s="154">
        <f>IF(E15=1,X15,0)</f>
        <v>16</v>
      </c>
      <c r="G15" s="155">
        <f t="shared" ref="G15:G52" si="2">IF(E15=1,AE15,0)</f>
        <v>17</v>
      </c>
      <c r="H15" s="155">
        <f t="shared" ref="H15:H52" si="3">IF(E15=1,AL15,0)</f>
        <v>23</v>
      </c>
      <c r="I15" s="155">
        <f t="shared" ref="I15:I52" si="4">IF(E15=1,AS15,0)</f>
        <v>23</v>
      </c>
      <c r="J15" s="156">
        <f t="shared" ref="J15:J52" si="5">IF(E15=1,AZ15,0)</f>
        <v>0</v>
      </c>
      <c r="N15" s="458"/>
      <c r="O15" s="459"/>
      <c r="P15" s="459" t="s">
        <v>45</v>
      </c>
      <c r="Q15" s="459" t="s">
        <v>42</v>
      </c>
      <c r="R15" s="465">
        <v>0.69</v>
      </c>
      <c r="S15" s="57">
        <v>2.1</v>
      </c>
      <c r="T15" s="47" t="s">
        <v>42</v>
      </c>
      <c r="U15" s="47" t="s">
        <v>43</v>
      </c>
      <c r="V15" s="47" t="s">
        <v>46</v>
      </c>
      <c r="W15" s="58">
        <v>2.6</v>
      </c>
      <c r="X15" s="59">
        <v>16</v>
      </c>
      <c r="Y15" s="60"/>
      <c r="Z15" s="57"/>
      <c r="AA15" s="47"/>
      <c r="AB15" s="47"/>
      <c r="AC15" s="47"/>
      <c r="AD15" s="58"/>
      <c r="AE15" s="59">
        <v>17</v>
      </c>
      <c r="AF15" s="60"/>
      <c r="AG15" s="57"/>
      <c r="AH15" s="47"/>
      <c r="AI15" s="47"/>
      <c r="AJ15" s="47"/>
      <c r="AK15" s="58"/>
      <c r="AL15" s="59">
        <v>23</v>
      </c>
      <c r="AM15" s="60"/>
      <c r="AN15" s="57"/>
      <c r="AO15" s="47"/>
      <c r="AP15" s="47"/>
      <c r="AQ15" s="47"/>
      <c r="AR15" s="58"/>
      <c r="AS15" s="61">
        <v>23</v>
      </c>
      <c r="AU15" s="57"/>
      <c r="AV15" s="47"/>
      <c r="AW15" s="47"/>
      <c r="AX15" s="47"/>
      <c r="AY15" s="58"/>
      <c r="AZ15" s="61">
        <v>0</v>
      </c>
    </row>
    <row r="16" spans="1:52" x14ac:dyDescent="0.4">
      <c r="A16" s="12">
        <f>A15+1</f>
        <v>2</v>
      </c>
      <c r="B16" s="167">
        <f t="shared" si="0"/>
        <v>0</v>
      </c>
      <c r="C16" s="1">
        <f t="shared" si="1"/>
        <v>0</v>
      </c>
      <c r="D16" s="41">
        <f>D15</f>
        <v>1</v>
      </c>
      <c r="E16" s="41">
        <f t="shared" ref="E16:E46" si="6">IF(AND(S16&lt;=ηAH,ηAH&lt;W16),1,0)</f>
        <v>0</v>
      </c>
      <c r="F16" s="157">
        <f t="shared" ref="F16:F52" si="7">IF(E16=1,X16,0)</f>
        <v>0</v>
      </c>
      <c r="G16" s="158">
        <f t="shared" si="2"/>
        <v>0</v>
      </c>
      <c r="H16" s="158">
        <f t="shared" si="3"/>
        <v>0</v>
      </c>
      <c r="I16" s="158">
        <f t="shared" si="4"/>
        <v>0</v>
      </c>
      <c r="J16" s="159">
        <f t="shared" si="5"/>
        <v>0</v>
      </c>
      <c r="N16" s="456"/>
      <c r="O16" s="457"/>
      <c r="P16" s="457"/>
      <c r="Q16" s="457"/>
      <c r="R16" s="462"/>
      <c r="S16" s="53">
        <v>2.6</v>
      </c>
      <c r="T16" s="7" t="s">
        <v>42</v>
      </c>
      <c r="U16" s="7" t="s">
        <v>43</v>
      </c>
      <c r="V16" s="7" t="s">
        <v>46</v>
      </c>
      <c r="W16" s="52">
        <v>3.1</v>
      </c>
      <c r="X16" s="3">
        <v>15</v>
      </c>
      <c r="Z16" s="53"/>
      <c r="AA16" s="7"/>
      <c r="AB16" s="7"/>
      <c r="AC16" s="7"/>
      <c r="AD16" s="52"/>
      <c r="AE16" s="3">
        <v>16</v>
      </c>
      <c r="AG16" s="53"/>
      <c r="AH16" s="7"/>
      <c r="AI16" s="7"/>
      <c r="AJ16" s="7"/>
      <c r="AK16" s="52"/>
      <c r="AL16" s="3">
        <v>21</v>
      </c>
      <c r="AN16" s="53"/>
      <c r="AO16" s="7"/>
      <c r="AP16" s="7"/>
      <c r="AQ16" s="7"/>
      <c r="AR16" s="52"/>
      <c r="AS16" s="62">
        <v>21</v>
      </c>
      <c r="AU16" s="53"/>
      <c r="AV16" s="7"/>
      <c r="AW16" s="7"/>
      <c r="AX16" s="7"/>
      <c r="AY16" s="52"/>
      <c r="AZ16" s="62">
        <v>0</v>
      </c>
    </row>
    <row r="17" spans="1:52" x14ac:dyDescent="0.4">
      <c r="A17" s="12">
        <f t="shared" ref="A17:A52" si="8">A16+1</f>
        <v>3</v>
      </c>
      <c r="B17" s="167">
        <f t="shared" si="0"/>
        <v>0</v>
      </c>
      <c r="C17" s="1">
        <f t="shared" si="1"/>
        <v>0</v>
      </c>
      <c r="D17" s="41">
        <f>D15</f>
        <v>1</v>
      </c>
      <c r="E17" s="41">
        <f>IF(AND(S17&lt;=ηAH,ηAH&lt;W17),1,0)</f>
        <v>0</v>
      </c>
      <c r="F17" s="157">
        <f t="shared" si="7"/>
        <v>0</v>
      </c>
      <c r="G17" s="158">
        <f t="shared" si="2"/>
        <v>0</v>
      </c>
      <c r="H17" s="158">
        <f t="shared" si="3"/>
        <v>0</v>
      </c>
      <c r="I17" s="158">
        <f t="shared" si="4"/>
        <v>0</v>
      </c>
      <c r="J17" s="159">
        <f t="shared" si="5"/>
        <v>0</v>
      </c>
      <c r="N17" s="456"/>
      <c r="O17" s="457"/>
      <c r="P17" s="457"/>
      <c r="Q17" s="457"/>
      <c r="R17" s="462"/>
      <c r="S17" s="53">
        <v>3.1</v>
      </c>
      <c r="T17" s="7" t="s">
        <v>42</v>
      </c>
      <c r="U17" s="7" t="s">
        <v>43</v>
      </c>
      <c r="V17" s="7" t="s">
        <v>46</v>
      </c>
      <c r="W17" s="52">
        <v>3.6</v>
      </c>
      <c r="X17" s="3">
        <v>15</v>
      </c>
      <c r="Z17" s="53"/>
      <c r="AA17" s="7"/>
      <c r="AB17" s="7"/>
      <c r="AC17" s="7"/>
      <c r="AD17" s="52"/>
      <c r="AE17" s="3">
        <v>15</v>
      </c>
      <c r="AG17" s="53"/>
      <c r="AH17" s="7"/>
      <c r="AI17" s="7"/>
      <c r="AJ17" s="7"/>
      <c r="AK17" s="52"/>
      <c r="AL17" s="3">
        <v>20</v>
      </c>
      <c r="AN17" s="53"/>
      <c r="AO17" s="7"/>
      <c r="AP17" s="7"/>
      <c r="AQ17" s="7"/>
      <c r="AR17" s="52"/>
      <c r="AS17" s="62">
        <v>19</v>
      </c>
      <c r="AU17" s="53"/>
      <c r="AV17" s="7"/>
      <c r="AW17" s="7"/>
      <c r="AX17" s="7"/>
      <c r="AY17" s="52"/>
      <c r="AZ17" s="62">
        <v>0</v>
      </c>
    </row>
    <row r="18" spans="1:52" x14ac:dyDescent="0.4">
      <c r="A18" s="12">
        <f t="shared" si="8"/>
        <v>4</v>
      </c>
      <c r="B18" s="167">
        <f t="shared" si="0"/>
        <v>0</v>
      </c>
      <c r="C18" s="1">
        <f t="shared" si="1"/>
        <v>0</v>
      </c>
      <c r="D18" s="41">
        <f>D15</f>
        <v>1</v>
      </c>
      <c r="E18" s="41">
        <f>IF(AND(S18&lt;=ηAH,ηAH&lt;W18),1,0)</f>
        <v>0</v>
      </c>
      <c r="F18" s="157">
        <f t="shared" si="7"/>
        <v>0</v>
      </c>
      <c r="G18" s="158">
        <f t="shared" si="2"/>
        <v>0</v>
      </c>
      <c r="H18" s="158">
        <f t="shared" si="3"/>
        <v>0</v>
      </c>
      <c r="I18" s="158">
        <f t="shared" si="4"/>
        <v>0</v>
      </c>
      <c r="J18" s="159">
        <f t="shared" si="5"/>
        <v>0</v>
      </c>
      <c r="N18" s="456"/>
      <c r="O18" s="457"/>
      <c r="P18" s="457"/>
      <c r="Q18" s="457"/>
      <c r="R18" s="462"/>
      <c r="S18" s="53">
        <v>3.6</v>
      </c>
      <c r="T18" s="7" t="s">
        <v>42</v>
      </c>
      <c r="U18" s="7" t="s">
        <v>43</v>
      </c>
      <c r="V18" s="7" t="s">
        <v>46</v>
      </c>
      <c r="W18" s="52">
        <v>4.0999999999999996</v>
      </c>
      <c r="X18" s="3">
        <v>14</v>
      </c>
      <c r="Z18" s="53"/>
      <c r="AA18" s="7"/>
      <c r="AB18" s="7"/>
      <c r="AC18" s="7"/>
      <c r="AD18" s="52"/>
      <c r="AE18" s="3">
        <v>14</v>
      </c>
      <c r="AG18" s="53"/>
      <c r="AH18" s="7"/>
      <c r="AI18" s="7"/>
      <c r="AJ18" s="7"/>
      <c r="AK18" s="52"/>
      <c r="AL18" s="3">
        <v>18</v>
      </c>
      <c r="AN18" s="53"/>
      <c r="AO18" s="7"/>
      <c r="AP18" s="7"/>
      <c r="AQ18" s="7"/>
      <c r="AR18" s="52"/>
      <c r="AS18" s="62">
        <v>17</v>
      </c>
      <c r="AU18" s="53"/>
      <c r="AV18" s="7"/>
      <c r="AW18" s="7"/>
      <c r="AX18" s="7"/>
      <c r="AY18" s="52"/>
      <c r="AZ18" s="62">
        <v>0</v>
      </c>
    </row>
    <row r="19" spans="1:52" x14ac:dyDescent="0.4">
      <c r="A19" s="12">
        <f t="shared" si="8"/>
        <v>5</v>
      </c>
      <c r="B19" s="167">
        <f t="shared" si="0"/>
        <v>0</v>
      </c>
      <c r="C19" s="1">
        <f t="shared" si="1"/>
        <v>0</v>
      </c>
      <c r="D19" s="41">
        <f>D15</f>
        <v>1</v>
      </c>
      <c r="E19" s="41">
        <f t="shared" si="6"/>
        <v>0</v>
      </c>
      <c r="F19" s="157">
        <f t="shared" si="7"/>
        <v>0</v>
      </c>
      <c r="G19" s="158">
        <f t="shared" si="2"/>
        <v>0</v>
      </c>
      <c r="H19" s="158">
        <f t="shared" si="3"/>
        <v>0</v>
      </c>
      <c r="I19" s="158">
        <f t="shared" si="4"/>
        <v>0</v>
      </c>
      <c r="J19" s="159">
        <f t="shared" si="5"/>
        <v>0</v>
      </c>
      <c r="N19" s="456"/>
      <c r="O19" s="457"/>
      <c r="P19" s="457"/>
      <c r="Q19" s="457"/>
      <c r="R19" s="462"/>
      <c r="S19" s="53">
        <v>4.0999999999999996</v>
      </c>
      <c r="T19" s="7" t="s">
        <v>42</v>
      </c>
      <c r="U19" s="7" t="s">
        <v>43</v>
      </c>
      <c r="V19" s="7" t="s">
        <v>46</v>
      </c>
      <c r="W19" s="52">
        <v>4.5999999999999996</v>
      </c>
      <c r="X19" s="3">
        <v>13</v>
      </c>
      <c r="Z19" s="53"/>
      <c r="AA19" s="7"/>
      <c r="AB19" s="7"/>
      <c r="AC19" s="7"/>
      <c r="AD19" s="52"/>
      <c r="AE19" s="3">
        <v>14</v>
      </c>
      <c r="AG19" s="53"/>
      <c r="AH19" s="7"/>
      <c r="AI19" s="7"/>
      <c r="AJ19" s="7"/>
      <c r="AK19" s="52"/>
      <c r="AL19" s="3">
        <v>17</v>
      </c>
      <c r="AN19" s="53"/>
      <c r="AO19" s="7"/>
      <c r="AP19" s="7"/>
      <c r="AQ19" s="7"/>
      <c r="AR19" s="52"/>
      <c r="AS19" s="62">
        <v>16</v>
      </c>
      <c r="AU19" s="53"/>
      <c r="AV19" s="7"/>
      <c r="AW19" s="7"/>
      <c r="AX19" s="7"/>
      <c r="AY19" s="52"/>
      <c r="AZ19" s="62">
        <v>0</v>
      </c>
    </row>
    <row r="20" spans="1:52" ht="19.5" thickBot="1" x14ac:dyDescent="0.45">
      <c r="A20" s="12">
        <f t="shared" si="8"/>
        <v>6</v>
      </c>
      <c r="B20" s="167">
        <f t="shared" si="0"/>
        <v>0</v>
      </c>
      <c r="C20" s="43">
        <f t="shared" si="1"/>
        <v>0</v>
      </c>
      <c r="D20" s="42">
        <f>D15</f>
        <v>1</v>
      </c>
      <c r="E20" s="42">
        <f>IF(S20&lt;=ηAH,1,0)</f>
        <v>0</v>
      </c>
      <c r="F20" s="160">
        <f t="shared" si="7"/>
        <v>0</v>
      </c>
      <c r="G20" s="161">
        <f t="shared" si="2"/>
        <v>0</v>
      </c>
      <c r="H20" s="161">
        <f t="shared" si="3"/>
        <v>0</v>
      </c>
      <c r="I20" s="161">
        <f t="shared" si="4"/>
        <v>0</v>
      </c>
      <c r="J20" s="162">
        <f t="shared" si="5"/>
        <v>0</v>
      </c>
      <c r="N20" s="463"/>
      <c r="O20" s="464"/>
      <c r="P20" s="464"/>
      <c r="Q20" s="464"/>
      <c r="R20" s="466"/>
      <c r="S20" s="63">
        <v>4.5999999999999996</v>
      </c>
      <c r="T20" s="48" t="s">
        <v>42</v>
      </c>
      <c r="U20" s="48" t="s">
        <v>43</v>
      </c>
      <c r="V20" s="48"/>
      <c r="W20" s="64"/>
      <c r="X20" s="65">
        <v>11</v>
      </c>
      <c r="Y20" s="46"/>
      <c r="Z20" s="63"/>
      <c r="AA20" s="48"/>
      <c r="AB20" s="48"/>
      <c r="AC20" s="48"/>
      <c r="AD20" s="64"/>
      <c r="AE20" s="65">
        <v>11</v>
      </c>
      <c r="AF20" s="46"/>
      <c r="AG20" s="63"/>
      <c r="AH20" s="48"/>
      <c r="AI20" s="48"/>
      <c r="AJ20" s="48"/>
      <c r="AK20" s="64"/>
      <c r="AL20" s="65">
        <v>14</v>
      </c>
      <c r="AM20" s="46"/>
      <c r="AN20" s="63"/>
      <c r="AO20" s="48"/>
      <c r="AP20" s="48"/>
      <c r="AQ20" s="48"/>
      <c r="AR20" s="64"/>
      <c r="AS20" s="66">
        <v>14</v>
      </c>
      <c r="AU20" s="63"/>
      <c r="AV20" s="48"/>
      <c r="AW20" s="48"/>
      <c r="AX20" s="48"/>
      <c r="AY20" s="64"/>
      <c r="AZ20" s="66">
        <v>0</v>
      </c>
    </row>
    <row r="21" spans="1:52" x14ac:dyDescent="0.4">
      <c r="A21" s="12">
        <f t="shared" si="8"/>
        <v>7</v>
      </c>
      <c r="B21" s="167">
        <f t="shared" si="0"/>
        <v>0</v>
      </c>
      <c r="C21" s="37">
        <f t="shared" si="1"/>
        <v>0</v>
      </c>
      <c r="D21" s="40">
        <f>IF(AND(N21&lt;UA値z,UA値z&lt;=R21),1,0)</f>
        <v>0</v>
      </c>
      <c r="E21" s="40">
        <f>IF(AND(S21&lt;=ηAH,ηAH&lt;W21),1,0)</f>
        <v>1</v>
      </c>
      <c r="F21" s="154">
        <f t="shared" si="7"/>
        <v>18</v>
      </c>
      <c r="G21" s="155">
        <f t="shared" si="2"/>
        <v>19</v>
      </c>
      <c r="H21" s="155">
        <f t="shared" si="3"/>
        <v>26</v>
      </c>
      <c r="I21" s="155">
        <f t="shared" si="4"/>
        <v>26</v>
      </c>
      <c r="J21" s="156">
        <f t="shared" si="5"/>
        <v>0</v>
      </c>
      <c r="N21" s="458">
        <v>0.69</v>
      </c>
      <c r="O21" s="459" t="s">
        <v>46</v>
      </c>
      <c r="P21" s="459" t="s">
        <v>45</v>
      </c>
      <c r="Q21" s="459" t="s">
        <v>42</v>
      </c>
      <c r="R21" s="465">
        <v>0.78</v>
      </c>
      <c r="S21" s="57">
        <v>2.1</v>
      </c>
      <c r="T21" s="47" t="s">
        <v>42</v>
      </c>
      <c r="U21" s="47" t="s">
        <v>43</v>
      </c>
      <c r="V21" s="47" t="s">
        <v>46</v>
      </c>
      <c r="W21" s="58">
        <v>2.6</v>
      </c>
      <c r="X21" s="59">
        <v>18</v>
      </c>
      <c r="Y21" s="60"/>
      <c r="Z21" s="57"/>
      <c r="AA21" s="47"/>
      <c r="AB21" s="47"/>
      <c r="AC21" s="47"/>
      <c r="AD21" s="58"/>
      <c r="AE21" s="59">
        <v>19</v>
      </c>
      <c r="AF21" s="60"/>
      <c r="AG21" s="57"/>
      <c r="AH21" s="47"/>
      <c r="AI21" s="47"/>
      <c r="AJ21" s="47"/>
      <c r="AK21" s="58"/>
      <c r="AL21" s="59">
        <v>26</v>
      </c>
      <c r="AM21" s="60"/>
      <c r="AN21" s="57"/>
      <c r="AO21" s="47"/>
      <c r="AP21" s="47"/>
      <c r="AQ21" s="47"/>
      <c r="AR21" s="58"/>
      <c r="AS21" s="61">
        <v>26</v>
      </c>
      <c r="AU21" s="57"/>
      <c r="AV21" s="47"/>
      <c r="AW21" s="47"/>
      <c r="AX21" s="47"/>
      <c r="AY21" s="58"/>
      <c r="AZ21" s="61">
        <v>0</v>
      </c>
    </row>
    <row r="22" spans="1:52" x14ac:dyDescent="0.4">
      <c r="A22" s="12">
        <f t="shared" si="8"/>
        <v>8</v>
      </c>
      <c r="B22" s="167">
        <f t="shared" si="0"/>
        <v>0</v>
      </c>
      <c r="C22" s="1">
        <f t="shared" si="1"/>
        <v>0</v>
      </c>
      <c r="D22" s="41">
        <f>D21</f>
        <v>0</v>
      </c>
      <c r="E22" s="41">
        <f t="shared" si="6"/>
        <v>0</v>
      </c>
      <c r="F22" s="157">
        <f t="shared" si="7"/>
        <v>0</v>
      </c>
      <c r="G22" s="158">
        <f t="shared" si="2"/>
        <v>0</v>
      </c>
      <c r="H22" s="158">
        <f t="shared" si="3"/>
        <v>0</v>
      </c>
      <c r="I22" s="158">
        <f t="shared" si="4"/>
        <v>0</v>
      </c>
      <c r="J22" s="159">
        <f t="shared" si="5"/>
        <v>0</v>
      </c>
      <c r="N22" s="456"/>
      <c r="O22" s="457"/>
      <c r="P22" s="457"/>
      <c r="Q22" s="457"/>
      <c r="R22" s="462"/>
      <c r="S22" s="53">
        <v>2.6</v>
      </c>
      <c r="T22" s="7" t="s">
        <v>42</v>
      </c>
      <c r="U22" s="7" t="s">
        <v>43</v>
      </c>
      <c r="V22" s="7" t="s">
        <v>46</v>
      </c>
      <c r="W22" s="52">
        <v>3.1</v>
      </c>
      <c r="X22" s="3">
        <v>17</v>
      </c>
      <c r="Z22" s="53"/>
      <c r="AA22" s="7"/>
      <c r="AB22" s="7"/>
      <c r="AC22" s="7"/>
      <c r="AD22" s="52"/>
      <c r="AE22" s="3">
        <v>18</v>
      </c>
      <c r="AG22" s="53"/>
      <c r="AH22" s="7"/>
      <c r="AI22" s="7"/>
      <c r="AJ22" s="7"/>
      <c r="AK22" s="52"/>
      <c r="AL22" s="3">
        <v>24</v>
      </c>
      <c r="AN22" s="53"/>
      <c r="AO22" s="7"/>
      <c r="AP22" s="7"/>
      <c r="AQ22" s="7"/>
      <c r="AR22" s="52"/>
      <c r="AS22" s="62">
        <v>24</v>
      </c>
      <c r="AU22" s="53"/>
      <c r="AV22" s="7"/>
      <c r="AW22" s="7"/>
      <c r="AX22" s="7"/>
      <c r="AY22" s="52"/>
      <c r="AZ22" s="62">
        <v>0</v>
      </c>
    </row>
    <row r="23" spans="1:52" x14ac:dyDescent="0.4">
      <c r="A23" s="12">
        <f t="shared" si="8"/>
        <v>9</v>
      </c>
      <c r="B23" s="167">
        <f t="shared" si="0"/>
        <v>0</v>
      </c>
      <c r="C23" s="1">
        <f t="shared" si="1"/>
        <v>0</v>
      </c>
      <c r="D23" s="41">
        <f>D21</f>
        <v>0</v>
      </c>
      <c r="E23" s="41">
        <f>IF(AND(S23&lt;=ηAH,ηAH&lt;W23),1,0)</f>
        <v>0</v>
      </c>
      <c r="F23" s="157">
        <f t="shared" si="7"/>
        <v>0</v>
      </c>
      <c r="G23" s="158">
        <f t="shared" si="2"/>
        <v>0</v>
      </c>
      <c r="H23" s="158">
        <f t="shared" si="3"/>
        <v>0</v>
      </c>
      <c r="I23" s="158">
        <f t="shared" si="4"/>
        <v>0</v>
      </c>
      <c r="J23" s="159">
        <f t="shared" si="5"/>
        <v>0</v>
      </c>
      <c r="N23" s="456"/>
      <c r="O23" s="457"/>
      <c r="P23" s="457"/>
      <c r="Q23" s="457"/>
      <c r="R23" s="462"/>
      <c r="S23" s="53">
        <v>3.1</v>
      </c>
      <c r="T23" s="7" t="s">
        <v>42</v>
      </c>
      <c r="U23" s="7" t="s">
        <v>43</v>
      </c>
      <c r="V23" s="7" t="s">
        <v>46</v>
      </c>
      <c r="W23" s="52">
        <v>3.6</v>
      </c>
      <c r="X23" s="3">
        <v>16</v>
      </c>
      <c r="Z23" s="53"/>
      <c r="AA23" s="7"/>
      <c r="AB23" s="7"/>
      <c r="AC23" s="7"/>
      <c r="AD23" s="52"/>
      <c r="AE23" s="3">
        <v>17</v>
      </c>
      <c r="AG23" s="53"/>
      <c r="AH23" s="7"/>
      <c r="AI23" s="7"/>
      <c r="AJ23" s="7"/>
      <c r="AK23" s="52"/>
      <c r="AL23" s="3">
        <v>22</v>
      </c>
      <c r="AN23" s="53"/>
      <c r="AO23" s="7"/>
      <c r="AP23" s="7"/>
      <c r="AQ23" s="7"/>
      <c r="AR23" s="52"/>
      <c r="AS23" s="62">
        <v>22</v>
      </c>
      <c r="AU23" s="53"/>
      <c r="AV23" s="7"/>
      <c r="AW23" s="7"/>
      <c r="AX23" s="7"/>
      <c r="AY23" s="52"/>
      <c r="AZ23" s="62">
        <v>0</v>
      </c>
    </row>
    <row r="24" spans="1:52" x14ac:dyDescent="0.4">
      <c r="A24" s="12">
        <f t="shared" si="8"/>
        <v>10</v>
      </c>
      <c r="B24" s="167">
        <f t="shared" si="0"/>
        <v>0</v>
      </c>
      <c r="C24" s="1">
        <f t="shared" si="1"/>
        <v>0</v>
      </c>
      <c r="D24" s="41">
        <f>D21</f>
        <v>0</v>
      </c>
      <c r="E24" s="41">
        <f t="shared" si="6"/>
        <v>0</v>
      </c>
      <c r="F24" s="157">
        <f t="shared" si="7"/>
        <v>0</v>
      </c>
      <c r="G24" s="158">
        <f t="shared" si="2"/>
        <v>0</v>
      </c>
      <c r="H24" s="158">
        <f t="shared" si="3"/>
        <v>0</v>
      </c>
      <c r="I24" s="158">
        <f t="shared" si="4"/>
        <v>0</v>
      </c>
      <c r="J24" s="159">
        <f t="shared" si="5"/>
        <v>0</v>
      </c>
      <c r="N24" s="456"/>
      <c r="O24" s="457"/>
      <c r="P24" s="457"/>
      <c r="Q24" s="457"/>
      <c r="R24" s="462"/>
      <c r="S24" s="53">
        <v>3.6</v>
      </c>
      <c r="T24" s="7" t="s">
        <v>42</v>
      </c>
      <c r="U24" s="7" t="s">
        <v>43</v>
      </c>
      <c r="V24" s="7" t="s">
        <v>46</v>
      </c>
      <c r="W24" s="52">
        <v>4.0999999999999996</v>
      </c>
      <c r="X24" s="3">
        <v>15</v>
      </c>
      <c r="Z24" s="53"/>
      <c r="AA24" s="7"/>
      <c r="AB24" s="7"/>
      <c r="AC24" s="7"/>
      <c r="AD24" s="52"/>
      <c r="AE24" s="3">
        <v>16</v>
      </c>
      <c r="AG24" s="53"/>
      <c r="AH24" s="7"/>
      <c r="AI24" s="7"/>
      <c r="AJ24" s="7"/>
      <c r="AK24" s="52"/>
      <c r="AL24" s="3">
        <v>20</v>
      </c>
      <c r="AN24" s="53"/>
      <c r="AO24" s="7"/>
      <c r="AP24" s="7"/>
      <c r="AQ24" s="7"/>
      <c r="AR24" s="52"/>
      <c r="AS24" s="62">
        <v>20</v>
      </c>
      <c r="AU24" s="53"/>
      <c r="AV24" s="7"/>
      <c r="AW24" s="7"/>
      <c r="AX24" s="7"/>
      <c r="AY24" s="52"/>
      <c r="AZ24" s="62">
        <v>0</v>
      </c>
    </row>
    <row r="25" spans="1:52" x14ac:dyDescent="0.4">
      <c r="A25" s="12">
        <f t="shared" si="8"/>
        <v>11</v>
      </c>
      <c r="B25" s="167">
        <f t="shared" si="0"/>
        <v>0</v>
      </c>
      <c r="C25" s="1">
        <f t="shared" si="1"/>
        <v>0</v>
      </c>
      <c r="D25" s="41">
        <f>D21</f>
        <v>0</v>
      </c>
      <c r="E25" s="41">
        <f t="shared" si="6"/>
        <v>0</v>
      </c>
      <c r="F25" s="157">
        <f t="shared" si="7"/>
        <v>0</v>
      </c>
      <c r="G25" s="158">
        <f t="shared" si="2"/>
        <v>0</v>
      </c>
      <c r="H25" s="158">
        <f t="shared" si="3"/>
        <v>0</v>
      </c>
      <c r="I25" s="158">
        <f t="shared" si="4"/>
        <v>0</v>
      </c>
      <c r="J25" s="159">
        <f t="shared" si="5"/>
        <v>0</v>
      </c>
      <c r="N25" s="456"/>
      <c r="O25" s="457"/>
      <c r="P25" s="457"/>
      <c r="Q25" s="457"/>
      <c r="R25" s="462"/>
      <c r="S25" s="53">
        <v>4.0999999999999996</v>
      </c>
      <c r="T25" s="7" t="s">
        <v>42</v>
      </c>
      <c r="U25" s="7" t="s">
        <v>43</v>
      </c>
      <c r="V25" s="7" t="s">
        <v>46</v>
      </c>
      <c r="W25" s="52">
        <v>4.5999999999999996</v>
      </c>
      <c r="X25" s="3">
        <v>15</v>
      </c>
      <c r="Z25" s="53"/>
      <c r="AA25" s="7"/>
      <c r="AB25" s="7"/>
      <c r="AC25" s="7"/>
      <c r="AD25" s="52"/>
      <c r="AE25" s="3">
        <v>15</v>
      </c>
      <c r="AG25" s="53"/>
      <c r="AH25" s="7"/>
      <c r="AI25" s="7"/>
      <c r="AJ25" s="7"/>
      <c r="AK25" s="52"/>
      <c r="AL25" s="3">
        <v>19</v>
      </c>
      <c r="AN25" s="53"/>
      <c r="AO25" s="7"/>
      <c r="AP25" s="7"/>
      <c r="AQ25" s="7"/>
      <c r="AR25" s="52"/>
      <c r="AS25" s="62">
        <v>18</v>
      </c>
      <c r="AU25" s="53"/>
      <c r="AV25" s="7"/>
      <c r="AW25" s="7"/>
      <c r="AX25" s="7"/>
      <c r="AY25" s="52"/>
      <c r="AZ25" s="62">
        <v>0</v>
      </c>
    </row>
    <row r="26" spans="1:52" ht="19.5" thickBot="1" x14ac:dyDescent="0.45">
      <c r="A26" s="12">
        <f t="shared" si="8"/>
        <v>12</v>
      </c>
      <c r="B26" s="167">
        <f t="shared" si="0"/>
        <v>0</v>
      </c>
      <c r="C26" s="1">
        <f t="shared" ref="C26" si="9">IF(AND(D26=1,E26=1),1,0)</f>
        <v>0</v>
      </c>
      <c r="D26" s="41">
        <f>D21</f>
        <v>0</v>
      </c>
      <c r="E26" s="42">
        <f>IF(S26&lt;=ηAH,1,0)</f>
        <v>0</v>
      </c>
      <c r="F26" s="160">
        <f t="shared" si="7"/>
        <v>0</v>
      </c>
      <c r="G26" s="161">
        <f t="shared" si="2"/>
        <v>0</v>
      </c>
      <c r="H26" s="161">
        <f t="shared" si="3"/>
        <v>0</v>
      </c>
      <c r="I26" s="161">
        <f t="shared" si="4"/>
        <v>0</v>
      </c>
      <c r="J26" s="162">
        <f t="shared" si="5"/>
        <v>0</v>
      </c>
      <c r="N26" s="463"/>
      <c r="O26" s="464"/>
      <c r="P26" s="464"/>
      <c r="Q26" s="464"/>
      <c r="R26" s="466"/>
      <c r="S26" s="63">
        <v>4.5999999999999996</v>
      </c>
      <c r="T26" s="48" t="s">
        <v>42</v>
      </c>
      <c r="U26" s="48" t="s">
        <v>43</v>
      </c>
      <c r="V26" s="48"/>
      <c r="W26" s="67"/>
      <c r="X26" s="65">
        <v>12</v>
      </c>
      <c r="Y26" s="46"/>
      <c r="Z26" s="63"/>
      <c r="AA26" s="48"/>
      <c r="AB26" s="48"/>
      <c r="AC26" s="48"/>
      <c r="AD26" s="67"/>
      <c r="AE26" s="65">
        <v>13</v>
      </c>
      <c r="AF26" s="46"/>
      <c r="AG26" s="63"/>
      <c r="AH26" s="48"/>
      <c r="AI26" s="48"/>
      <c r="AJ26" s="48"/>
      <c r="AK26" s="67"/>
      <c r="AL26" s="65">
        <v>16</v>
      </c>
      <c r="AM26" s="46"/>
      <c r="AN26" s="63"/>
      <c r="AO26" s="48"/>
      <c r="AP26" s="48"/>
      <c r="AQ26" s="48"/>
      <c r="AR26" s="67"/>
      <c r="AS26" s="66">
        <v>16</v>
      </c>
      <c r="AU26" s="63"/>
      <c r="AV26" s="48"/>
      <c r="AW26" s="48"/>
      <c r="AX26" s="48"/>
      <c r="AY26" s="67"/>
      <c r="AZ26" s="66">
        <v>0</v>
      </c>
    </row>
    <row r="27" spans="1:52" x14ac:dyDescent="0.4">
      <c r="A27" s="12">
        <f t="shared" si="8"/>
        <v>13</v>
      </c>
      <c r="B27" s="167">
        <f t="shared" si="0"/>
        <v>0</v>
      </c>
      <c r="C27" s="37">
        <f>IF(AND(D27=1,E27=1),1,0)</f>
        <v>0</v>
      </c>
      <c r="D27" s="40">
        <f>IF(AND(N27&lt;UA値z,UA値z&lt;=R27),1,0)</f>
        <v>0</v>
      </c>
      <c r="E27" s="40">
        <f>IF(AND(S27&lt;=ηAH,ηAH&lt;W27),1,0)</f>
        <v>1</v>
      </c>
      <c r="F27" s="154">
        <f t="shared" si="7"/>
        <v>19</v>
      </c>
      <c r="G27" s="155">
        <f t="shared" si="2"/>
        <v>20</v>
      </c>
      <c r="H27" s="155">
        <f t="shared" si="3"/>
        <v>28</v>
      </c>
      <c r="I27" s="155">
        <f t="shared" si="4"/>
        <v>28</v>
      </c>
      <c r="J27" s="156">
        <f t="shared" si="5"/>
        <v>0</v>
      </c>
      <c r="N27" s="458">
        <v>0.78</v>
      </c>
      <c r="O27" s="459" t="s">
        <v>46</v>
      </c>
      <c r="P27" s="459" t="s">
        <v>45</v>
      </c>
      <c r="Q27" s="459" t="s">
        <v>42</v>
      </c>
      <c r="R27" s="465">
        <v>0.87</v>
      </c>
      <c r="S27" s="57">
        <v>2.1</v>
      </c>
      <c r="T27" s="47" t="s">
        <v>42</v>
      </c>
      <c r="U27" s="47" t="s">
        <v>43</v>
      </c>
      <c r="V27" s="47" t="s">
        <v>46</v>
      </c>
      <c r="W27" s="58">
        <v>2.6</v>
      </c>
      <c r="X27" s="59">
        <v>19</v>
      </c>
      <c r="Y27" s="60"/>
      <c r="Z27" s="57"/>
      <c r="AA27" s="47"/>
      <c r="AB27" s="47"/>
      <c r="AC27" s="47"/>
      <c r="AD27" s="58"/>
      <c r="AE27" s="59">
        <v>20</v>
      </c>
      <c r="AF27" s="60"/>
      <c r="AG27" s="57"/>
      <c r="AH27" s="47"/>
      <c r="AI27" s="47"/>
      <c r="AJ27" s="47"/>
      <c r="AK27" s="58"/>
      <c r="AL27" s="59">
        <v>28</v>
      </c>
      <c r="AM27" s="60"/>
      <c r="AN27" s="57"/>
      <c r="AO27" s="47"/>
      <c r="AP27" s="47"/>
      <c r="AQ27" s="47"/>
      <c r="AR27" s="58"/>
      <c r="AS27" s="61">
        <v>28</v>
      </c>
      <c r="AU27" s="57"/>
      <c r="AV27" s="47"/>
      <c r="AW27" s="47"/>
      <c r="AX27" s="47"/>
      <c r="AY27" s="58"/>
      <c r="AZ27" s="61">
        <v>0</v>
      </c>
    </row>
    <row r="28" spans="1:52" x14ac:dyDescent="0.4">
      <c r="A28" s="12">
        <f t="shared" si="8"/>
        <v>14</v>
      </c>
      <c r="B28" s="167">
        <f t="shared" si="0"/>
        <v>0</v>
      </c>
      <c r="C28" s="1">
        <f>IF(AND(D28=1,E28=1),1,0)</f>
        <v>0</v>
      </c>
      <c r="D28" s="41">
        <f>D27</f>
        <v>0</v>
      </c>
      <c r="E28" s="41">
        <f t="shared" si="6"/>
        <v>0</v>
      </c>
      <c r="F28" s="157">
        <f t="shared" si="7"/>
        <v>0</v>
      </c>
      <c r="G28" s="158">
        <f t="shared" si="2"/>
        <v>0</v>
      </c>
      <c r="H28" s="158">
        <f t="shared" si="3"/>
        <v>0</v>
      </c>
      <c r="I28" s="158">
        <f t="shared" si="4"/>
        <v>0</v>
      </c>
      <c r="J28" s="159">
        <f t="shared" si="5"/>
        <v>0</v>
      </c>
      <c r="N28" s="456"/>
      <c r="O28" s="457"/>
      <c r="P28" s="457"/>
      <c r="Q28" s="457"/>
      <c r="R28" s="462"/>
      <c r="S28" s="53">
        <v>2.6</v>
      </c>
      <c r="T28" s="7" t="s">
        <v>42</v>
      </c>
      <c r="U28" s="7" t="s">
        <v>43</v>
      </c>
      <c r="V28" s="7" t="s">
        <v>46</v>
      </c>
      <c r="W28" s="52">
        <v>3.1</v>
      </c>
      <c r="X28" s="3">
        <v>18</v>
      </c>
      <c r="Z28" s="53"/>
      <c r="AA28" s="7"/>
      <c r="AB28" s="7"/>
      <c r="AC28" s="7"/>
      <c r="AD28" s="52"/>
      <c r="AE28" s="3">
        <v>19</v>
      </c>
      <c r="AG28" s="53"/>
      <c r="AH28" s="7"/>
      <c r="AI28" s="7"/>
      <c r="AJ28" s="7"/>
      <c r="AK28" s="52"/>
      <c r="AL28" s="3">
        <v>26</v>
      </c>
      <c r="AN28" s="53"/>
      <c r="AO28" s="7"/>
      <c r="AP28" s="7"/>
      <c r="AQ28" s="7"/>
      <c r="AR28" s="52"/>
      <c r="AS28" s="62">
        <v>26</v>
      </c>
      <c r="AU28" s="53"/>
      <c r="AV28" s="7"/>
      <c r="AW28" s="7"/>
      <c r="AX28" s="7"/>
      <c r="AY28" s="52"/>
      <c r="AZ28" s="62">
        <v>0</v>
      </c>
    </row>
    <row r="29" spans="1:52" x14ac:dyDescent="0.4">
      <c r="A29" s="12">
        <f t="shared" si="8"/>
        <v>15</v>
      </c>
      <c r="B29" s="167">
        <f t="shared" si="0"/>
        <v>0</v>
      </c>
      <c r="C29" s="1">
        <f>IF(AND(D29=1,E29=1),1,0)</f>
        <v>0</v>
      </c>
      <c r="D29" s="41">
        <f>D27</f>
        <v>0</v>
      </c>
      <c r="E29" s="41">
        <f t="shared" si="6"/>
        <v>0</v>
      </c>
      <c r="F29" s="157">
        <f t="shared" si="7"/>
        <v>0</v>
      </c>
      <c r="G29" s="158">
        <f t="shared" si="2"/>
        <v>0</v>
      </c>
      <c r="H29" s="158">
        <f t="shared" si="3"/>
        <v>0</v>
      </c>
      <c r="I29" s="158">
        <f t="shared" si="4"/>
        <v>0</v>
      </c>
      <c r="J29" s="159">
        <f t="shared" si="5"/>
        <v>0</v>
      </c>
      <c r="N29" s="456"/>
      <c r="O29" s="457"/>
      <c r="P29" s="457"/>
      <c r="Q29" s="457"/>
      <c r="R29" s="462"/>
      <c r="S29" s="53">
        <v>3.1</v>
      </c>
      <c r="T29" s="7" t="s">
        <v>42</v>
      </c>
      <c r="U29" s="7" t="s">
        <v>43</v>
      </c>
      <c r="V29" s="7" t="s">
        <v>46</v>
      </c>
      <c r="W29" s="52">
        <v>3.6</v>
      </c>
      <c r="X29" s="3">
        <v>18</v>
      </c>
      <c r="Z29" s="53"/>
      <c r="AA29" s="7"/>
      <c r="AB29" s="7"/>
      <c r="AC29" s="7"/>
      <c r="AD29" s="52"/>
      <c r="AE29" s="3">
        <v>18</v>
      </c>
      <c r="AG29" s="53"/>
      <c r="AH29" s="7"/>
      <c r="AI29" s="7"/>
      <c r="AJ29" s="7"/>
      <c r="AK29" s="52"/>
      <c r="AL29" s="3">
        <v>25</v>
      </c>
      <c r="AN29" s="53"/>
      <c r="AO29" s="7"/>
      <c r="AP29" s="7"/>
      <c r="AQ29" s="7"/>
      <c r="AR29" s="52"/>
      <c r="AS29" s="62">
        <v>24</v>
      </c>
      <c r="AU29" s="53"/>
      <c r="AV29" s="7"/>
      <c r="AW29" s="7"/>
      <c r="AX29" s="7"/>
      <c r="AY29" s="52"/>
      <c r="AZ29" s="62">
        <v>0</v>
      </c>
    </row>
    <row r="30" spans="1:52" x14ac:dyDescent="0.4">
      <c r="A30" s="12">
        <f t="shared" si="8"/>
        <v>16</v>
      </c>
      <c r="B30" s="167">
        <f t="shared" si="0"/>
        <v>0</v>
      </c>
      <c r="C30" s="1">
        <f t="shared" ref="C30:C32" si="10">IF(AND(D30=1,E30=1),1,0)</f>
        <v>0</v>
      </c>
      <c r="D30" s="41">
        <f>D27</f>
        <v>0</v>
      </c>
      <c r="E30" s="41">
        <f t="shared" si="6"/>
        <v>0</v>
      </c>
      <c r="F30" s="157">
        <f t="shared" si="7"/>
        <v>0</v>
      </c>
      <c r="G30" s="158">
        <f t="shared" si="2"/>
        <v>0</v>
      </c>
      <c r="H30" s="158">
        <f t="shared" si="3"/>
        <v>0</v>
      </c>
      <c r="I30" s="158">
        <f t="shared" si="4"/>
        <v>0</v>
      </c>
      <c r="J30" s="159">
        <f t="shared" si="5"/>
        <v>0</v>
      </c>
      <c r="N30" s="456"/>
      <c r="O30" s="457"/>
      <c r="P30" s="457"/>
      <c r="Q30" s="457"/>
      <c r="R30" s="462"/>
      <c r="S30" s="53">
        <v>3.6</v>
      </c>
      <c r="T30" s="7" t="s">
        <v>42</v>
      </c>
      <c r="U30" s="7" t="s">
        <v>43</v>
      </c>
      <c r="V30" s="7" t="s">
        <v>46</v>
      </c>
      <c r="W30" s="52">
        <v>4.0999999999999996</v>
      </c>
      <c r="X30" s="3">
        <v>17</v>
      </c>
      <c r="Z30" s="53"/>
      <c r="AA30" s="7"/>
      <c r="AB30" s="7"/>
      <c r="AC30" s="7"/>
      <c r="AD30" s="52"/>
      <c r="AE30" s="3">
        <v>18</v>
      </c>
      <c r="AG30" s="53"/>
      <c r="AH30" s="7"/>
      <c r="AI30" s="7"/>
      <c r="AJ30" s="7"/>
      <c r="AK30" s="52"/>
      <c r="AL30" s="3">
        <v>23</v>
      </c>
      <c r="AN30" s="53"/>
      <c r="AO30" s="7"/>
      <c r="AP30" s="7"/>
      <c r="AQ30" s="7"/>
      <c r="AR30" s="52"/>
      <c r="AS30" s="62">
        <v>22</v>
      </c>
      <c r="AU30" s="53"/>
      <c r="AV30" s="7"/>
      <c r="AW30" s="7"/>
      <c r="AX30" s="7"/>
      <c r="AY30" s="52"/>
      <c r="AZ30" s="62">
        <v>0</v>
      </c>
    </row>
    <row r="31" spans="1:52" x14ac:dyDescent="0.4">
      <c r="A31" s="12">
        <f t="shared" si="8"/>
        <v>17</v>
      </c>
      <c r="B31" s="167">
        <f t="shared" si="0"/>
        <v>0</v>
      </c>
      <c r="C31" s="1">
        <f>IF(AND(D31=1,E31=1),1,0)</f>
        <v>0</v>
      </c>
      <c r="D31" s="41">
        <f>D27</f>
        <v>0</v>
      </c>
      <c r="E31" s="41">
        <f t="shared" si="6"/>
        <v>0</v>
      </c>
      <c r="F31" s="157">
        <f t="shared" si="7"/>
        <v>0</v>
      </c>
      <c r="G31" s="158">
        <f t="shared" si="2"/>
        <v>0</v>
      </c>
      <c r="H31" s="158">
        <f t="shared" si="3"/>
        <v>0</v>
      </c>
      <c r="I31" s="158">
        <f t="shared" si="4"/>
        <v>0</v>
      </c>
      <c r="J31" s="159">
        <f t="shared" si="5"/>
        <v>0</v>
      </c>
      <c r="N31" s="456"/>
      <c r="O31" s="457"/>
      <c r="P31" s="457"/>
      <c r="Q31" s="457"/>
      <c r="R31" s="462"/>
      <c r="S31" s="53">
        <v>4.0999999999999996</v>
      </c>
      <c r="T31" s="7" t="s">
        <v>42</v>
      </c>
      <c r="U31" s="7" t="s">
        <v>43</v>
      </c>
      <c r="V31" s="7" t="s">
        <v>46</v>
      </c>
      <c r="W31" s="52">
        <v>4.5999999999999996</v>
      </c>
      <c r="X31" s="3">
        <v>16</v>
      </c>
      <c r="Z31" s="53"/>
      <c r="AA31" s="7"/>
      <c r="AB31" s="7"/>
      <c r="AC31" s="7"/>
      <c r="AD31" s="52"/>
      <c r="AE31" s="3">
        <v>17</v>
      </c>
      <c r="AG31" s="53"/>
      <c r="AH31" s="7"/>
      <c r="AI31" s="7"/>
      <c r="AJ31" s="7"/>
      <c r="AK31" s="52"/>
      <c r="AL31" s="3">
        <v>21</v>
      </c>
      <c r="AN31" s="53"/>
      <c r="AO31" s="7"/>
      <c r="AP31" s="7"/>
      <c r="AQ31" s="7"/>
      <c r="AR31" s="52"/>
      <c r="AS31" s="62">
        <v>21</v>
      </c>
      <c r="AU31" s="53"/>
      <c r="AV31" s="7"/>
      <c r="AW31" s="7"/>
      <c r="AX31" s="7"/>
      <c r="AY31" s="52"/>
      <c r="AZ31" s="62">
        <v>0</v>
      </c>
    </row>
    <row r="32" spans="1:52" ht="19.5" thickBot="1" x14ac:dyDescent="0.45">
      <c r="A32" s="12">
        <f t="shared" si="8"/>
        <v>18</v>
      </c>
      <c r="B32" s="167">
        <f t="shared" si="0"/>
        <v>0</v>
      </c>
      <c r="C32" s="43">
        <f t="shared" si="10"/>
        <v>0</v>
      </c>
      <c r="D32" s="42">
        <f>D27</f>
        <v>0</v>
      </c>
      <c r="E32" s="42">
        <f>IF(S32&lt;=ηAH,1,0)</f>
        <v>0</v>
      </c>
      <c r="F32" s="160">
        <f t="shared" si="7"/>
        <v>0</v>
      </c>
      <c r="G32" s="161">
        <f t="shared" si="2"/>
        <v>0</v>
      </c>
      <c r="H32" s="161">
        <f t="shared" si="3"/>
        <v>0</v>
      </c>
      <c r="I32" s="161">
        <f t="shared" si="4"/>
        <v>0</v>
      </c>
      <c r="J32" s="162">
        <f t="shared" si="5"/>
        <v>0</v>
      </c>
      <c r="N32" s="463"/>
      <c r="O32" s="464"/>
      <c r="P32" s="464"/>
      <c r="Q32" s="464"/>
      <c r="R32" s="466"/>
      <c r="S32" s="63">
        <v>4.5999999999999996</v>
      </c>
      <c r="T32" s="48" t="s">
        <v>42</v>
      </c>
      <c r="U32" s="48" t="s">
        <v>43</v>
      </c>
      <c r="V32" s="48"/>
      <c r="W32" s="67"/>
      <c r="X32" s="65">
        <v>14</v>
      </c>
      <c r="Y32" s="46"/>
      <c r="Z32" s="63"/>
      <c r="AA32" s="48"/>
      <c r="AB32" s="48"/>
      <c r="AC32" s="48"/>
      <c r="AD32" s="67"/>
      <c r="AE32" s="65">
        <v>14</v>
      </c>
      <c r="AF32" s="46"/>
      <c r="AG32" s="63"/>
      <c r="AH32" s="48"/>
      <c r="AI32" s="48"/>
      <c r="AJ32" s="48"/>
      <c r="AK32" s="67"/>
      <c r="AL32" s="65">
        <v>18</v>
      </c>
      <c r="AM32" s="46"/>
      <c r="AN32" s="63"/>
      <c r="AO32" s="48"/>
      <c r="AP32" s="48"/>
      <c r="AQ32" s="48"/>
      <c r="AR32" s="67"/>
      <c r="AS32" s="66">
        <v>18</v>
      </c>
      <c r="AU32" s="63"/>
      <c r="AV32" s="48"/>
      <c r="AW32" s="48"/>
      <c r="AX32" s="48"/>
      <c r="AY32" s="67"/>
      <c r="AZ32" s="66">
        <v>0</v>
      </c>
    </row>
    <row r="33" spans="1:52" x14ac:dyDescent="0.4">
      <c r="A33" s="12">
        <f t="shared" si="8"/>
        <v>19</v>
      </c>
      <c r="B33" s="167">
        <f t="shared" si="0"/>
        <v>0</v>
      </c>
      <c r="C33" s="37">
        <f>IF(AND(D33=1,E33=1),1,0)</f>
        <v>0</v>
      </c>
      <c r="D33" s="41">
        <f>IF(AND(N33&lt;UA値z,UA値z&lt;=R33),1,0)</f>
        <v>0</v>
      </c>
      <c r="E33" s="41">
        <f t="shared" si="6"/>
        <v>1</v>
      </c>
      <c r="F33" s="157">
        <f t="shared" si="7"/>
        <v>24</v>
      </c>
      <c r="G33" s="158">
        <f t="shared" si="2"/>
        <v>24</v>
      </c>
      <c r="H33" s="158">
        <f t="shared" si="3"/>
        <v>35</v>
      </c>
      <c r="I33" s="158">
        <f t="shared" si="4"/>
        <v>34</v>
      </c>
      <c r="J33" s="159">
        <f t="shared" si="5"/>
        <v>0</v>
      </c>
      <c r="N33" s="458">
        <v>0.87</v>
      </c>
      <c r="O33" s="459" t="s">
        <v>46</v>
      </c>
      <c r="P33" s="459" t="s">
        <v>45</v>
      </c>
      <c r="Q33" s="459" t="s">
        <v>42</v>
      </c>
      <c r="R33" s="465">
        <v>1.19</v>
      </c>
      <c r="S33" s="57">
        <v>2.1</v>
      </c>
      <c r="T33" s="47" t="s">
        <v>42</v>
      </c>
      <c r="U33" s="47" t="s">
        <v>43</v>
      </c>
      <c r="V33" s="47" t="s">
        <v>46</v>
      </c>
      <c r="W33" s="58">
        <v>2.6</v>
      </c>
      <c r="X33" s="59">
        <v>24</v>
      </c>
      <c r="Y33" s="60"/>
      <c r="Z33" s="57"/>
      <c r="AA33" s="47"/>
      <c r="AB33" s="47"/>
      <c r="AC33" s="47"/>
      <c r="AD33" s="58"/>
      <c r="AE33" s="59">
        <v>24</v>
      </c>
      <c r="AF33" s="60"/>
      <c r="AG33" s="57"/>
      <c r="AH33" s="47"/>
      <c r="AI33" s="47"/>
      <c r="AJ33" s="47"/>
      <c r="AK33" s="58"/>
      <c r="AL33" s="59">
        <v>35</v>
      </c>
      <c r="AM33" s="60"/>
      <c r="AN33" s="57"/>
      <c r="AO33" s="47"/>
      <c r="AP33" s="47"/>
      <c r="AQ33" s="47"/>
      <c r="AR33" s="58"/>
      <c r="AS33" s="61">
        <v>34</v>
      </c>
      <c r="AU33" s="57"/>
      <c r="AV33" s="47"/>
      <c r="AW33" s="47"/>
      <c r="AX33" s="47"/>
      <c r="AY33" s="58"/>
      <c r="AZ33" s="61">
        <v>0</v>
      </c>
    </row>
    <row r="34" spans="1:52" x14ac:dyDescent="0.4">
      <c r="A34" s="12">
        <f t="shared" si="8"/>
        <v>20</v>
      </c>
      <c r="B34" s="167">
        <f t="shared" si="0"/>
        <v>0</v>
      </c>
      <c r="C34" s="1">
        <f>IF(AND(D34=1,E34=1),1,0)</f>
        <v>0</v>
      </c>
      <c r="D34" s="41">
        <f>D33</f>
        <v>0</v>
      </c>
      <c r="E34" s="41">
        <f>IF(AND(S34&lt;=ηAH,ηAH&lt;W34),1,0)</f>
        <v>0</v>
      </c>
      <c r="F34" s="157">
        <f t="shared" si="7"/>
        <v>0</v>
      </c>
      <c r="G34" s="158">
        <f t="shared" si="2"/>
        <v>0</v>
      </c>
      <c r="H34" s="158">
        <f t="shared" si="3"/>
        <v>0</v>
      </c>
      <c r="I34" s="158">
        <f t="shared" si="4"/>
        <v>0</v>
      </c>
      <c r="J34" s="159">
        <f t="shared" si="5"/>
        <v>0</v>
      </c>
      <c r="N34" s="456"/>
      <c r="O34" s="457"/>
      <c r="P34" s="457"/>
      <c r="Q34" s="457"/>
      <c r="R34" s="462"/>
      <c r="S34" s="53">
        <v>2.6</v>
      </c>
      <c r="T34" s="7" t="s">
        <v>42</v>
      </c>
      <c r="U34" s="7" t="s">
        <v>43</v>
      </c>
      <c r="V34" s="7" t="s">
        <v>46</v>
      </c>
      <c r="W34" s="52">
        <v>3.1</v>
      </c>
      <c r="X34" s="3">
        <v>23</v>
      </c>
      <c r="Z34" s="53"/>
      <c r="AA34" s="7"/>
      <c r="AB34" s="7"/>
      <c r="AC34" s="7"/>
      <c r="AD34" s="52"/>
      <c r="AE34" s="3">
        <v>23</v>
      </c>
      <c r="AG34" s="53"/>
      <c r="AH34" s="7"/>
      <c r="AI34" s="7"/>
      <c r="AJ34" s="7"/>
      <c r="AK34" s="52"/>
      <c r="AL34" s="3">
        <v>33</v>
      </c>
      <c r="AN34" s="53"/>
      <c r="AO34" s="7"/>
      <c r="AP34" s="7"/>
      <c r="AQ34" s="7"/>
      <c r="AR34" s="52"/>
      <c r="AS34" s="62">
        <v>33</v>
      </c>
      <c r="AU34" s="53"/>
      <c r="AV34" s="7"/>
      <c r="AW34" s="7"/>
      <c r="AX34" s="7"/>
      <c r="AY34" s="52"/>
      <c r="AZ34" s="62">
        <v>0</v>
      </c>
    </row>
    <row r="35" spans="1:52" x14ac:dyDescent="0.4">
      <c r="A35" s="12">
        <f t="shared" si="8"/>
        <v>21</v>
      </c>
      <c r="B35" s="167">
        <f t="shared" si="0"/>
        <v>0</v>
      </c>
      <c r="C35" s="1">
        <f t="shared" ref="C35:C37" si="11">IF(AND(D35=1,E35=1),1,0)</f>
        <v>0</v>
      </c>
      <c r="D35" s="41">
        <f>D33</f>
        <v>0</v>
      </c>
      <c r="E35" s="41">
        <f t="shared" si="6"/>
        <v>0</v>
      </c>
      <c r="F35" s="157">
        <f t="shared" si="7"/>
        <v>0</v>
      </c>
      <c r="G35" s="158">
        <f t="shared" si="2"/>
        <v>0</v>
      </c>
      <c r="H35" s="158">
        <f t="shared" si="3"/>
        <v>0</v>
      </c>
      <c r="I35" s="158">
        <f t="shared" si="4"/>
        <v>0</v>
      </c>
      <c r="J35" s="159">
        <f t="shared" si="5"/>
        <v>0</v>
      </c>
      <c r="N35" s="456"/>
      <c r="O35" s="457"/>
      <c r="P35" s="457"/>
      <c r="Q35" s="457"/>
      <c r="R35" s="462"/>
      <c r="S35" s="53">
        <v>3.1</v>
      </c>
      <c r="T35" s="7" t="s">
        <v>42</v>
      </c>
      <c r="U35" s="7" t="s">
        <v>43</v>
      </c>
      <c r="V35" s="7" t="s">
        <v>46</v>
      </c>
      <c r="W35" s="52">
        <v>3.6</v>
      </c>
      <c r="X35" s="3">
        <v>22</v>
      </c>
      <c r="Z35" s="53"/>
      <c r="AA35" s="7"/>
      <c r="AB35" s="7"/>
      <c r="AC35" s="7"/>
      <c r="AD35" s="52"/>
      <c r="AE35" s="3">
        <v>22</v>
      </c>
      <c r="AG35" s="53"/>
      <c r="AH35" s="7"/>
      <c r="AI35" s="7"/>
      <c r="AJ35" s="7"/>
      <c r="AK35" s="52"/>
      <c r="AL35" s="3">
        <v>31</v>
      </c>
      <c r="AN35" s="53"/>
      <c r="AO35" s="7"/>
      <c r="AP35" s="7"/>
      <c r="AQ35" s="7"/>
      <c r="AR35" s="52"/>
      <c r="AS35" s="62">
        <v>31</v>
      </c>
      <c r="AU35" s="53"/>
      <c r="AV35" s="7"/>
      <c r="AW35" s="7"/>
      <c r="AX35" s="7"/>
      <c r="AY35" s="52"/>
      <c r="AZ35" s="62">
        <v>0</v>
      </c>
    </row>
    <row r="36" spans="1:52" x14ac:dyDescent="0.4">
      <c r="A36" s="12">
        <f t="shared" si="8"/>
        <v>22</v>
      </c>
      <c r="B36" s="167">
        <f t="shared" si="0"/>
        <v>0</v>
      </c>
      <c r="C36" s="1">
        <f>IF(AND(D36=1,E36=1),1,0)</f>
        <v>0</v>
      </c>
      <c r="D36" s="41">
        <f>D33</f>
        <v>0</v>
      </c>
      <c r="E36" s="41">
        <f t="shared" si="6"/>
        <v>0</v>
      </c>
      <c r="F36" s="157">
        <f t="shared" si="7"/>
        <v>0</v>
      </c>
      <c r="G36" s="158">
        <f t="shared" si="2"/>
        <v>0</v>
      </c>
      <c r="H36" s="158">
        <f t="shared" si="3"/>
        <v>0</v>
      </c>
      <c r="I36" s="158">
        <f t="shared" si="4"/>
        <v>0</v>
      </c>
      <c r="J36" s="159">
        <f t="shared" si="5"/>
        <v>0</v>
      </c>
      <c r="N36" s="456"/>
      <c r="O36" s="457"/>
      <c r="P36" s="457"/>
      <c r="Q36" s="457"/>
      <c r="R36" s="462"/>
      <c r="S36" s="53">
        <v>3.6</v>
      </c>
      <c r="T36" s="7" t="s">
        <v>42</v>
      </c>
      <c r="U36" s="7" t="s">
        <v>43</v>
      </c>
      <c r="V36" s="7" t="s">
        <v>46</v>
      </c>
      <c r="W36" s="52">
        <v>4.0999999999999996</v>
      </c>
      <c r="X36" s="3">
        <v>21</v>
      </c>
      <c r="Z36" s="53"/>
      <c r="AA36" s="7"/>
      <c r="AB36" s="7"/>
      <c r="AC36" s="7"/>
      <c r="AD36" s="52"/>
      <c r="AE36" s="3">
        <v>22</v>
      </c>
      <c r="AG36" s="53"/>
      <c r="AH36" s="7"/>
      <c r="AI36" s="7"/>
      <c r="AJ36" s="7"/>
      <c r="AK36" s="52"/>
      <c r="AL36" s="3">
        <v>29</v>
      </c>
      <c r="AN36" s="53"/>
      <c r="AO36" s="7"/>
      <c r="AP36" s="7"/>
      <c r="AQ36" s="7"/>
      <c r="AR36" s="52"/>
      <c r="AS36" s="62">
        <v>29</v>
      </c>
      <c r="AU36" s="53"/>
      <c r="AV36" s="7"/>
      <c r="AW36" s="7"/>
      <c r="AX36" s="7"/>
      <c r="AY36" s="52"/>
      <c r="AZ36" s="62">
        <v>0</v>
      </c>
    </row>
    <row r="37" spans="1:52" x14ac:dyDescent="0.4">
      <c r="A37" s="12">
        <f t="shared" si="8"/>
        <v>23</v>
      </c>
      <c r="B37" s="167">
        <f t="shared" si="0"/>
        <v>0</v>
      </c>
      <c r="C37" s="1">
        <f t="shared" si="11"/>
        <v>0</v>
      </c>
      <c r="D37" s="41">
        <f>D33</f>
        <v>0</v>
      </c>
      <c r="E37" s="41">
        <f t="shared" si="6"/>
        <v>0</v>
      </c>
      <c r="F37" s="157">
        <f t="shared" si="7"/>
        <v>0</v>
      </c>
      <c r="G37" s="158">
        <f t="shared" si="2"/>
        <v>0</v>
      </c>
      <c r="H37" s="158">
        <f t="shared" si="3"/>
        <v>0</v>
      </c>
      <c r="I37" s="158">
        <f t="shared" si="4"/>
        <v>0</v>
      </c>
      <c r="J37" s="159">
        <f t="shared" si="5"/>
        <v>0</v>
      </c>
      <c r="N37" s="456"/>
      <c r="O37" s="457"/>
      <c r="P37" s="457"/>
      <c r="Q37" s="457"/>
      <c r="R37" s="462"/>
      <c r="S37" s="53">
        <v>4.0999999999999996</v>
      </c>
      <c r="T37" s="7" t="s">
        <v>42</v>
      </c>
      <c r="U37" s="7" t="s">
        <v>43</v>
      </c>
      <c r="V37" s="7" t="s">
        <v>46</v>
      </c>
      <c r="W37" s="52">
        <v>4.5999999999999996</v>
      </c>
      <c r="X37" s="3">
        <v>20</v>
      </c>
      <c r="Z37" s="53"/>
      <c r="AA37" s="7"/>
      <c r="AB37" s="7"/>
      <c r="AC37" s="7"/>
      <c r="AD37" s="52"/>
      <c r="AE37" s="3">
        <v>21</v>
      </c>
      <c r="AG37" s="53"/>
      <c r="AH37" s="7"/>
      <c r="AI37" s="7"/>
      <c r="AJ37" s="7"/>
      <c r="AK37" s="52"/>
      <c r="AL37" s="3">
        <v>27</v>
      </c>
      <c r="AN37" s="53"/>
      <c r="AO37" s="7"/>
      <c r="AP37" s="7"/>
      <c r="AQ37" s="7"/>
      <c r="AR37" s="52"/>
      <c r="AS37" s="62">
        <v>27</v>
      </c>
      <c r="AU37" s="53"/>
      <c r="AV37" s="7"/>
      <c r="AW37" s="7"/>
      <c r="AX37" s="7"/>
      <c r="AY37" s="52"/>
      <c r="AZ37" s="62">
        <v>0</v>
      </c>
    </row>
    <row r="38" spans="1:52" ht="19.5" thickBot="1" x14ac:dyDescent="0.45">
      <c r="A38" s="12">
        <f t="shared" si="8"/>
        <v>24</v>
      </c>
      <c r="B38" s="167">
        <f t="shared" si="0"/>
        <v>0</v>
      </c>
      <c r="C38" s="1">
        <f>IF(AND(D38=1,E38=1),1,0)</f>
        <v>0</v>
      </c>
      <c r="D38" s="41">
        <f>D33</f>
        <v>0</v>
      </c>
      <c r="E38" s="41">
        <f>IF(S38&lt;=ηAH,1,0)</f>
        <v>0</v>
      </c>
      <c r="F38" s="157">
        <f t="shared" si="7"/>
        <v>0</v>
      </c>
      <c r="G38" s="158">
        <f t="shared" si="2"/>
        <v>0</v>
      </c>
      <c r="H38" s="158">
        <f t="shared" si="3"/>
        <v>0</v>
      </c>
      <c r="I38" s="158">
        <f t="shared" si="4"/>
        <v>0</v>
      </c>
      <c r="J38" s="159">
        <f t="shared" si="5"/>
        <v>0</v>
      </c>
      <c r="N38" s="463"/>
      <c r="O38" s="464"/>
      <c r="P38" s="464"/>
      <c r="Q38" s="464"/>
      <c r="R38" s="466"/>
      <c r="S38" s="63">
        <v>4.5999999999999996</v>
      </c>
      <c r="T38" s="48" t="s">
        <v>42</v>
      </c>
      <c r="U38" s="48" t="s">
        <v>43</v>
      </c>
      <c r="V38" s="48"/>
      <c r="W38" s="67"/>
      <c r="X38" s="65">
        <v>19</v>
      </c>
      <c r="Y38" s="46"/>
      <c r="Z38" s="63"/>
      <c r="AA38" s="48"/>
      <c r="AB38" s="48"/>
      <c r="AC38" s="48"/>
      <c r="AD38" s="67"/>
      <c r="AE38" s="65">
        <v>20</v>
      </c>
      <c r="AF38" s="46"/>
      <c r="AG38" s="63"/>
      <c r="AH38" s="48"/>
      <c r="AI38" s="48"/>
      <c r="AJ38" s="48"/>
      <c r="AK38" s="67"/>
      <c r="AL38" s="65">
        <v>26</v>
      </c>
      <c r="AM38" s="46"/>
      <c r="AN38" s="63"/>
      <c r="AO38" s="48"/>
      <c r="AP38" s="48"/>
      <c r="AQ38" s="48"/>
      <c r="AR38" s="67"/>
      <c r="AS38" s="66">
        <v>26</v>
      </c>
      <c r="AU38" s="63"/>
      <c r="AV38" s="48"/>
      <c r="AW38" s="48"/>
      <c r="AX38" s="48"/>
      <c r="AY38" s="67"/>
      <c r="AZ38" s="66">
        <v>0</v>
      </c>
    </row>
    <row r="39" spans="1:52" x14ac:dyDescent="0.4">
      <c r="A39" s="12">
        <f t="shared" si="8"/>
        <v>25</v>
      </c>
      <c r="B39" s="167">
        <f t="shared" si="0"/>
        <v>0</v>
      </c>
      <c r="C39" s="37">
        <f>IF(AND(D39=1,E39=1),1,0)</f>
        <v>0</v>
      </c>
      <c r="D39" s="40">
        <f>IF(AND(N39&lt;UA値z,UA値z&lt;=R39),1,0)</f>
        <v>0</v>
      </c>
      <c r="E39" s="40">
        <f t="shared" si="6"/>
        <v>1</v>
      </c>
      <c r="F39" s="154">
        <f t="shared" si="7"/>
        <v>28</v>
      </c>
      <c r="G39" s="155">
        <f t="shared" si="2"/>
        <v>29</v>
      </c>
      <c r="H39" s="155">
        <f t="shared" si="3"/>
        <v>40</v>
      </c>
      <c r="I39" s="155">
        <f t="shared" si="4"/>
        <v>40</v>
      </c>
      <c r="J39" s="156">
        <f t="shared" si="5"/>
        <v>0</v>
      </c>
      <c r="N39" s="458">
        <v>1.19</v>
      </c>
      <c r="O39" s="459" t="s">
        <v>46</v>
      </c>
      <c r="P39" s="459" t="s">
        <v>45</v>
      </c>
      <c r="Q39" s="459" t="s">
        <v>42</v>
      </c>
      <c r="R39" s="465">
        <v>1.5</v>
      </c>
      <c r="S39" s="57">
        <v>2.1</v>
      </c>
      <c r="T39" s="47" t="s">
        <v>42</v>
      </c>
      <c r="U39" s="47" t="s">
        <v>43</v>
      </c>
      <c r="V39" s="47" t="s">
        <v>46</v>
      </c>
      <c r="W39" s="58">
        <v>2.6</v>
      </c>
      <c r="X39" s="59">
        <v>28</v>
      </c>
      <c r="Y39" s="60"/>
      <c r="Z39" s="57"/>
      <c r="AA39" s="47"/>
      <c r="AB39" s="47"/>
      <c r="AC39" s="47"/>
      <c r="AD39" s="58"/>
      <c r="AE39" s="59">
        <v>29</v>
      </c>
      <c r="AF39" s="60"/>
      <c r="AG39" s="57"/>
      <c r="AH39" s="47"/>
      <c r="AI39" s="47"/>
      <c r="AJ39" s="47"/>
      <c r="AK39" s="58"/>
      <c r="AL39" s="59">
        <v>40</v>
      </c>
      <c r="AM39" s="60"/>
      <c r="AN39" s="57"/>
      <c r="AO39" s="47"/>
      <c r="AP39" s="47"/>
      <c r="AQ39" s="47"/>
      <c r="AR39" s="58"/>
      <c r="AS39" s="61">
        <v>40</v>
      </c>
      <c r="AU39" s="57"/>
      <c r="AV39" s="47"/>
      <c r="AW39" s="47"/>
      <c r="AX39" s="47"/>
      <c r="AY39" s="58"/>
      <c r="AZ39" s="61">
        <v>0</v>
      </c>
    </row>
    <row r="40" spans="1:52" x14ac:dyDescent="0.4">
      <c r="A40" s="12">
        <f t="shared" si="8"/>
        <v>26</v>
      </c>
      <c r="B40" s="167">
        <f t="shared" si="0"/>
        <v>0</v>
      </c>
      <c r="C40" s="1">
        <f t="shared" ref="C40:C44" si="12">IF(AND(D40=1,E40=1),1,0)</f>
        <v>0</v>
      </c>
      <c r="D40" s="41">
        <f>D39</f>
        <v>0</v>
      </c>
      <c r="E40" s="41">
        <f t="shared" si="6"/>
        <v>0</v>
      </c>
      <c r="F40" s="157">
        <f t="shared" si="7"/>
        <v>0</v>
      </c>
      <c r="G40" s="158">
        <f t="shared" si="2"/>
        <v>0</v>
      </c>
      <c r="H40" s="158">
        <f t="shared" si="3"/>
        <v>0</v>
      </c>
      <c r="I40" s="158">
        <f t="shared" si="4"/>
        <v>0</v>
      </c>
      <c r="J40" s="159">
        <f t="shared" si="5"/>
        <v>0</v>
      </c>
      <c r="N40" s="456"/>
      <c r="O40" s="457"/>
      <c r="P40" s="457"/>
      <c r="Q40" s="457"/>
      <c r="R40" s="462"/>
      <c r="S40" s="53">
        <v>2.6</v>
      </c>
      <c r="T40" s="7" t="s">
        <v>42</v>
      </c>
      <c r="U40" s="7" t="s">
        <v>43</v>
      </c>
      <c r="V40" s="7" t="s">
        <v>46</v>
      </c>
      <c r="W40" s="52">
        <v>3.1</v>
      </c>
      <c r="X40" s="3">
        <v>27</v>
      </c>
      <c r="Z40" s="53"/>
      <c r="AA40" s="7"/>
      <c r="AB40" s="7"/>
      <c r="AC40" s="7"/>
      <c r="AD40" s="52"/>
      <c r="AE40" s="3">
        <v>28</v>
      </c>
      <c r="AG40" s="53"/>
      <c r="AH40" s="7"/>
      <c r="AI40" s="7"/>
      <c r="AJ40" s="7"/>
      <c r="AK40" s="52"/>
      <c r="AL40" s="3">
        <v>39</v>
      </c>
      <c r="AN40" s="53"/>
      <c r="AO40" s="7"/>
      <c r="AP40" s="7"/>
      <c r="AQ40" s="7"/>
      <c r="AR40" s="52"/>
      <c r="AS40" s="62">
        <v>38</v>
      </c>
      <c r="AU40" s="53"/>
      <c r="AV40" s="7"/>
      <c r="AW40" s="7"/>
      <c r="AX40" s="7"/>
      <c r="AY40" s="52"/>
      <c r="AZ40" s="62">
        <v>0</v>
      </c>
    </row>
    <row r="41" spans="1:52" x14ac:dyDescent="0.4">
      <c r="A41" s="12">
        <f t="shared" si="8"/>
        <v>27</v>
      </c>
      <c r="B41" s="167">
        <f t="shared" si="0"/>
        <v>0</v>
      </c>
      <c r="C41" s="1">
        <f t="shared" si="12"/>
        <v>0</v>
      </c>
      <c r="D41" s="41">
        <f>D39</f>
        <v>0</v>
      </c>
      <c r="E41" s="41">
        <f>IF(AND(S41&lt;=ηAH,ηAH&lt;W41),1,0)</f>
        <v>0</v>
      </c>
      <c r="F41" s="157">
        <f t="shared" si="7"/>
        <v>0</v>
      </c>
      <c r="G41" s="158">
        <f t="shared" si="2"/>
        <v>0</v>
      </c>
      <c r="H41" s="158">
        <f t="shared" si="3"/>
        <v>0</v>
      </c>
      <c r="I41" s="158">
        <f t="shared" si="4"/>
        <v>0</v>
      </c>
      <c r="J41" s="159">
        <f t="shared" si="5"/>
        <v>0</v>
      </c>
      <c r="N41" s="456"/>
      <c r="O41" s="457"/>
      <c r="P41" s="457"/>
      <c r="Q41" s="457"/>
      <c r="R41" s="462"/>
      <c r="S41" s="53">
        <v>3.1</v>
      </c>
      <c r="T41" s="7" t="s">
        <v>42</v>
      </c>
      <c r="U41" s="7" t="s">
        <v>43</v>
      </c>
      <c r="V41" s="7" t="s">
        <v>46</v>
      </c>
      <c r="W41" s="52">
        <v>3.6</v>
      </c>
      <c r="X41" s="3">
        <v>26</v>
      </c>
      <c r="Z41" s="53"/>
      <c r="AA41" s="7"/>
      <c r="AB41" s="7"/>
      <c r="AC41" s="7"/>
      <c r="AD41" s="52"/>
      <c r="AE41" s="3">
        <v>27</v>
      </c>
      <c r="AG41" s="53"/>
      <c r="AH41" s="7"/>
      <c r="AI41" s="7"/>
      <c r="AJ41" s="7"/>
      <c r="AK41" s="52"/>
      <c r="AL41" s="3">
        <v>37</v>
      </c>
      <c r="AN41" s="53"/>
      <c r="AO41" s="7"/>
      <c r="AP41" s="7"/>
      <c r="AQ41" s="7"/>
      <c r="AR41" s="52"/>
      <c r="AS41" s="62">
        <v>37</v>
      </c>
      <c r="AU41" s="53"/>
      <c r="AV41" s="7"/>
      <c r="AW41" s="7"/>
      <c r="AX41" s="7"/>
      <c r="AY41" s="52"/>
      <c r="AZ41" s="62">
        <v>0</v>
      </c>
    </row>
    <row r="42" spans="1:52" x14ac:dyDescent="0.4">
      <c r="A42" s="12">
        <f t="shared" si="8"/>
        <v>28</v>
      </c>
      <c r="B42" s="167">
        <f t="shared" si="0"/>
        <v>0</v>
      </c>
      <c r="C42" s="1">
        <f t="shared" si="12"/>
        <v>0</v>
      </c>
      <c r="D42" s="41">
        <f>D39</f>
        <v>0</v>
      </c>
      <c r="E42" s="41">
        <f t="shared" si="6"/>
        <v>0</v>
      </c>
      <c r="F42" s="157">
        <f t="shared" si="7"/>
        <v>0</v>
      </c>
      <c r="G42" s="158">
        <f t="shared" si="2"/>
        <v>0</v>
      </c>
      <c r="H42" s="158">
        <f t="shared" si="3"/>
        <v>0</v>
      </c>
      <c r="I42" s="158">
        <f t="shared" si="4"/>
        <v>0</v>
      </c>
      <c r="J42" s="159">
        <f t="shared" si="5"/>
        <v>0</v>
      </c>
      <c r="N42" s="456"/>
      <c r="O42" s="457"/>
      <c r="P42" s="457"/>
      <c r="Q42" s="457"/>
      <c r="R42" s="462"/>
      <c r="S42" s="53">
        <v>3.6</v>
      </c>
      <c r="T42" s="7" t="s">
        <v>42</v>
      </c>
      <c r="U42" s="7" t="s">
        <v>43</v>
      </c>
      <c r="V42" s="7" t="s">
        <v>46</v>
      </c>
      <c r="W42" s="52">
        <v>4.0999999999999996</v>
      </c>
      <c r="X42" s="3">
        <v>25</v>
      </c>
      <c r="Z42" s="53"/>
      <c r="AA42" s="7"/>
      <c r="AB42" s="7"/>
      <c r="AC42" s="7"/>
      <c r="AD42" s="52"/>
      <c r="AE42" s="3">
        <v>26</v>
      </c>
      <c r="AG42" s="53"/>
      <c r="AH42" s="7"/>
      <c r="AI42" s="7"/>
      <c r="AJ42" s="7"/>
      <c r="AK42" s="52"/>
      <c r="AL42" s="3">
        <v>35</v>
      </c>
      <c r="AN42" s="53"/>
      <c r="AO42" s="7"/>
      <c r="AP42" s="7"/>
      <c r="AQ42" s="7"/>
      <c r="AR42" s="52"/>
      <c r="AS42" s="62">
        <v>35</v>
      </c>
      <c r="AU42" s="53"/>
      <c r="AV42" s="7"/>
      <c r="AW42" s="7"/>
      <c r="AX42" s="7"/>
      <c r="AY42" s="52"/>
      <c r="AZ42" s="62">
        <v>0</v>
      </c>
    </row>
    <row r="43" spans="1:52" x14ac:dyDescent="0.4">
      <c r="A43" s="12">
        <f t="shared" si="8"/>
        <v>29</v>
      </c>
      <c r="B43" s="167">
        <f t="shared" si="0"/>
        <v>0</v>
      </c>
      <c r="C43" s="1">
        <f t="shared" si="12"/>
        <v>0</v>
      </c>
      <c r="D43" s="41">
        <f>D39</f>
        <v>0</v>
      </c>
      <c r="E43" s="41">
        <f>IF(AND(S43&lt;=ηAH,ηAH&lt;W43),1,0)</f>
        <v>0</v>
      </c>
      <c r="F43" s="157">
        <f t="shared" si="7"/>
        <v>0</v>
      </c>
      <c r="G43" s="158">
        <f t="shared" si="2"/>
        <v>0</v>
      </c>
      <c r="H43" s="158">
        <f t="shared" si="3"/>
        <v>0</v>
      </c>
      <c r="I43" s="158">
        <f t="shared" si="4"/>
        <v>0</v>
      </c>
      <c r="J43" s="159">
        <f t="shared" si="5"/>
        <v>0</v>
      </c>
      <c r="N43" s="456"/>
      <c r="O43" s="457"/>
      <c r="P43" s="457"/>
      <c r="Q43" s="457"/>
      <c r="R43" s="462"/>
      <c r="S43" s="53">
        <v>4.0999999999999996</v>
      </c>
      <c r="T43" s="7" t="s">
        <v>42</v>
      </c>
      <c r="U43" s="7" t="s">
        <v>43</v>
      </c>
      <c r="V43" s="7" t="s">
        <v>46</v>
      </c>
      <c r="W43" s="52">
        <v>4.5999999999999996</v>
      </c>
      <c r="X43" s="3">
        <v>24</v>
      </c>
      <c r="Z43" s="53"/>
      <c r="AA43" s="7"/>
      <c r="AB43" s="7"/>
      <c r="AC43" s="7"/>
      <c r="AD43" s="52"/>
      <c r="AE43" s="3">
        <v>25</v>
      </c>
      <c r="AG43" s="53"/>
      <c r="AH43" s="7"/>
      <c r="AI43" s="7"/>
      <c r="AJ43" s="7"/>
      <c r="AK43" s="52"/>
      <c r="AL43" s="3">
        <v>34</v>
      </c>
      <c r="AN43" s="53"/>
      <c r="AO43" s="7"/>
      <c r="AP43" s="7"/>
      <c r="AQ43" s="7"/>
      <c r="AR43" s="52"/>
      <c r="AS43" s="62">
        <v>33</v>
      </c>
      <c r="AU43" s="53"/>
      <c r="AV43" s="7"/>
      <c r="AW43" s="7"/>
      <c r="AX43" s="7"/>
      <c r="AY43" s="52"/>
      <c r="AZ43" s="62">
        <v>0</v>
      </c>
    </row>
    <row r="44" spans="1:52" ht="19.5" thickBot="1" x14ac:dyDescent="0.45">
      <c r="A44" s="12">
        <f t="shared" si="8"/>
        <v>30</v>
      </c>
      <c r="B44" s="167">
        <f t="shared" si="0"/>
        <v>0</v>
      </c>
      <c r="C44" s="43">
        <f t="shared" si="12"/>
        <v>0</v>
      </c>
      <c r="D44" s="42">
        <f>D39</f>
        <v>0</v>
      </c>
      <c r="E44" s="42">
        <f>IF(S44&lt;=ηAH,1,0)</f>
        <v>0</v>
      </c>
      <c r="F44" s="160">
        <f t="shared" si="7"/>
        <v>0</v>
      </c>
      <c r="G44" s="161">
        <f t="shared" si="2"/>
        <v>0</v>
      </c>
      <c r="H44" s="161">
        <f t="shared" si="3"/>
        <v>0</v>
      </c>
      <c r="I44" s="161">
        <f t="shared" si="4"/>
        <v>0</v>
      </c>
      <c r="J44" s="162">
        <f t="shared" si="5"/>
        <v>0</v>
      </c>
      <c r="N44" s="463"/>
      <c r="O44" s="464"/>
      <c r="P44" s="464"/>
      <c r="Q44" s="464"/>
      <c r="R44" s="466"/>
      <c r="S44" s="63">
        <v>4.5999999999999996</v>
      </c>
      <c r="T44" s="48" t="s">
        <v>42</v>
      </c>
      <c r="U44" s="48" t="s">
        <v>43</v>
      </c>
      <c r="V44" s="48"/>
      <c r="W44" s="67"/>
      <c r="X44" s="65">
        <v>23</v>
      </c>
      <c r="Y44" s="46"/>
      <c r="Z44" s="63"/>
      <c r="AA44" s="48"/>
      <c r="AB44" s="48"/>
      <c r="AC44" s="48"/>
      <c r="AD44" s="67"/>
      <c r="AE44" s="65">
        <v>24</v>
      </c>
      <c r="AF44" s="46"/>
      <c r="AG44" s="63"/>
      <c r="AH44" s="48"/>
      <c r="AI44" s="48"/>
      <c r="AJ44" s="48"/>
      <c r="AK44" s="67"/>
      <c r="AL44" s="65">
        <v>32</v>
      </c>
      <c r="AM44" s="46"/>
      <c r="AN44" s="63"/>
      <c r="AO44" s="48"/>
      <c r="AP44" s="48"/>
      <c r="AQ44" s="48"/>
      <c r="AR44" s="67"/>
      <c r="AS44" s="66">
        <v>32</v>
      </c>
      <c r="AU44" s="63"/>
      <c r="AV44" s="48"/>
      <c r="AW44" s="48"/>
      <c r="AX44" s="48"/>
      <c r="AY44" s="67"/>
      <c r="AZ44" s="66">
        <v>0</v>
      </c>
    </row>
    <row r="45" spans="1:52" x14ac:dyDescent="0.4">
      <c r="A45" s="12">
        <f t="shared" si="8"/>
        <v>31</v>
      </c>
      <c r="B45" s="167">
        <f t="shared" si="0"/>
        <v>0</v>
      </c>
      <c r="C45" s="37">
        <f>IF(AND(D45=1,E45=1),1,0)</f>
        <v>0</v>
      </c>
      <c r="D45" s="41">
        <f>IF(AND(N45&lt;UA値z,UA値z&lt;=R45),1,0)</f>
        <v>0</v>
      </c>
      <c r="E45" s="41">
        <f>IF(AND(S45&lt;=ηAH,ηAH&lt;W45),1,0)</f>
        <v>1</v>
      </c>
      <c r="F45" s="157">
        <f t="shared" si="7"/>
        <v>33</v>
      </c>
      <c r="G45" s="158">
        <f t="shared" si="2"/>
        <v>34</v>
      </c>
      <c r="H45" s="158">
        <f t="shared" si="3"/>
        <v>46</v>
      </c>
      <c r="I45" s="158">
        <f t="shared" si="4"/>
        <v>45</v>
      </c>
      <c r="J45" s="159">
        <f t="shared" si="5"/>
        <v>0</v>
      </c>
      <c r="N45" s="458">
        <v>1.5</v>
      </c>
      <c r="O45" s="459" t="s">
        <v>46</v>
      </c>
      <c r="P45" s="459" t="s">
        <v>45</v>
      </c>
      <c r="Q45" s="459" t="s">
        <v>42</v>
      </c>
      <c r="R45" s="465">
        <v>1.81</v>
      </c>
      <c r="S45" s="57">
        <v>2.1</v>
      </c>
      <c r="T45" s="47" t="s">
        <v>42</v>
      </c>
      <c r="U45" s="47" t="s">
        <v>43</v>
      </c>
      <c r="V45" s="47" t="s">
        <v>46</v>
      </c>
      <c r="W45" s="58">
        <v>2.6</v>
      </c>
      <c r="X45" s="59">
        <v>33</v>
      </c>
      <c r="Y45" s="60"/>
      <c r="Z45" s="57"/>
      <c r="AA45" s="47"/>
      <c r="AB45" s="47"/>
      <c r="AC45" s="47"/>
      <c r="AD45" s="58"/>
      <c r="AE45" s="59">
        <v>34</v>
      </c>
      <c r="AF45" s="60"/>
      <c r="AG45" s="57"/>
      <c r="AH45" s="47"/>
      <c r="AI45" s="47"/>
      <c r="AJ45" s="47"/>
      <c r="AK45" s="58"/>
      <c r="AL45" s="59">
        <v>46</v>
      </c>
      <c r="AM45" s="60"/>
      <c r="AN45" s="57"/>
      <c r="AO45" s="47"/>
      <c r="AP45" s="47"/>
      <c r="AQ45" s="47"/>
      <c r="AR45" s="58"/>
      <c r="AS45" s="61">
        <v>45</v>
      </c>
      <c r="AU45" s="57"/>
      <c r="AV45" s="47"/>
      <c r="AW45" s="47"/>
      <c r="AX45" s="47"/>
      <c r="AY45" s="58"/>
      <c r="AZ45" s="61">
        <v>0</v>
      </c>
    </row>
    <row r="46" spans="1:52" x14ac:dyDescent="0.4">
      <c r="A46" s="12">
        <f t="shared" si="8"/>
        <v>32</v>
      </c>
      <c r="B46" s="167">
        <f t="shared" si="0"/>
        <v>0</v>
      </c>
      <c r="C46" s="1">
        <f t="shared" ref="C46:C50" si="13">IF(AND(D46=1,E46=1),1,0)</f>
        <v>0</v>
      </c>
      <c r="D46" s="41">
        <f>D45</f>
        <v>0</v>
      </c>
      <c r="E46" s="41">
        <f t="shared" si="6"/>
        <v>0</v>
      </c>
      <c r="F46" s="157">
        <f t="shared" si="7"/>
        <v>0</v>
      </c>
      <c r="G46" s="158">
        <f t="shared" si="2"/>
        <v>0</v>
      </c>
      <c r="H46" s="158">
        <f t="shared" si="3"/>
        <v>0</v>
      </c>
      <c r="I46" s="158">
        <f t="shared" si="4"/>
        <v>0</v>
      </c>
      <c r="J46" s="159">
        <f t="shared" si="5"/>
        <v>0</v>
      </c>
      <c r="N46" s="456"/>
      <c r="O46" s="457"/>
      <c r="P46" s="457"/>
      <c r="Q46" s="457"/>
      <c r="R46" s="462"/>
      <c r="S46" s="53">
        <v>2.6</v>
      </c>
      <c r="T46" s="7" t="s">
        <v>42</v>
      </c>
      <c r="U46" s="7" t="s">
        <v>43</v>
      </c>
      <c r="V46" s="7" t="s">
        <v>46</v>
      </c>
      <c r="W46" s="52">
        <v>3.1</v>
      </c>
      <c r="X46" s="3">
        <v>31</v>
      </c>
      <c r="Z46" s="53"/>
      <c r="AA46" s="7"/>
      <c r="AB46" s="7"/>
      <c r="AC46" s="7"/>
      <c r="AD46" s="52"/>
      <c r="AE46" s="3">
        <v>33</v>
      </c>
      <c r="AG46" s="53"/>
      <c r="AH46" s="7"/>
      <c r="AI46" s="7"/>
      <c r="AJ46" s="7"/>
      <c r="AK46" s="52"/>
      <c r="AL46" s="3">
        <v>44</v>
      </c>
      <c r="AN46" s="53"/>
      <c r="AO46" s="7"/>
      <c r="AP46" s="7"/>
      <c r="AQ46" s="7"/>
      <c r="AR46" s="52"/>
      <c r="AS46" s="62">
        <v>44</v>
      </c>
      <c r="AU46" s="53"/>
      <c r="AV46" s="7"/>
      <c r="AW46" s="7"/>
      <c r="AX46" s="7"/>
      <c r="AY46" s="52"/>
      <c r="AZ46" s="62">
        <v>0</v>
      </c>
    </row>
    <row r="47" spans="1:52" x14ac:dyDescent="0.4">
      <c r="A47" s="12">
        <f t="shared" si="8"/>
        <v>33</v>
      </c>
      <c r="B47" s="167">
        <f t="shared" si="0"/>
        <v>0</v>
      </c>
      <c r="C47" s="1">
        <f t="shared" si="13"/>
        <v>0</v>
      </c>
      <c r="D47" s="41">
        <f>D45</f>
        <v>0</v>
      </c>
      <c r="E47" s="41">
        <f>IF(AND(S47&lt;=ηAH,ηAH&lt;W47),1,0)</f>
        <v>0</v>
      </c>
      <c r="F47" s="157">
        <f t="shared" si="7"/>
        <v>0</v>
      </c>
      <c r="G47" s="158">
        <f t="shared" si="2"/>
        <v>0</v>
      </c>
      <c r="H47" s="158">
        <f t="shared" si="3"/>
        <v>0</v>
      </c>
      <c r="I47" s="158">
        <f t="shared" si="4"/>
        <v>0</v>
      </c>
      <c r="J47" s="159">
        <f t="shared" si="5"/>
        <v>0</v>
      </c>
      <c r="N47" s="456"/>
      <c r="O47" s="457"/>
      <c r="P47" s="457"/>
      <c r="Q47" s="457"/>
      <c r="R47" s="462"/>
      <c r="S47" s="53">
        <v>3.1</v>
      </c>
      <c r="T47" s="7" t="s">
        <v>42</v>
      </c>
      <c r="U47" s="7" t="s">
        <v>43</v>
      </c>
      <c r="V47" s="7" t="s">
        <v>46</v>
      </c>
      <c r="W47" s="52">
        <v>3.6</v>
      </c>
      <c r="X47" s="3">
        <v>30</v>
      </c>
      <c r="Z47" s="53"/>
      <c r="AA47" s="7"/>
      <c r="AB47" s="7"/>
      <c r="AC47" s="7"/>
      <c r="AD47" s="52"/>
      <c r="AE47" s="3">
        <v>31</v>
      </c>
      <c r="AG47" s="53"/>
      <c r="AH47" s="7"/>
      <c r="AI47" s="7"/>
      <c r="AJ47" s="7"/>
      <c r="AK47" s="52"/>
      <c r="AL47" s="3">
        <v>43</v>
      </c>
      <c r="AN47" s="53"/>
      <c r="AO47" s="7"/>
      <c r="AP47" s="7"/>
      <c r="AQ47" s="7"/>
      <c r="AR47" s="52"/>
      <c r="AS47" s="62">
        <v>42</v>
      </c>
      <c r="AU47" s="53"/>
      <c r="AV47" s="7"/>
      <c r="AW47" s="7"/>
      <c r="AX47" s="7"/>
      <c r="AY47" s="52"/>
      <c r="AZ47" s="62">
        <v>0</v>
      </c>
    </row>
    <row r="48" spans="1:52" x14ac:dyDescent="0.4">
      <c r="A48" s="12">
        <f t="shared" si="8"/>
        <v>34</v>
      </c>
      <c r="B48" s="167">
        <f t="shared" si="0"/>
        <v>0</v>
      </c>
      <c r="C48" s="1">
        <f t="shared" si="13"/>
        <v>0</v>
      </c>
      <c r="D48" s="41">
        <f>D45</f>
        <v>0</v>
      </c>
      <c r="E48" s="41">
        <f>IF(AND(S48&lt;=ηAH,ηAH&lt;W48),1,0)</f>
        <v>0</v>
      </c>
      <c r="F48" s="157">
        <f t="shared" si="7"/>
        <v>0</v>
      </c>
      <c r="G48" s="158">
        <f t="shared" si="2"/>
        <v>0</v>
      </c>
      <c r="H48" s="158">
        <f t="shared" si="3"/>
        <v>0</v>
      </c>
      <c r="I48" s="158">
        <f t="shared" si="4"/>
        <v>0</v>
      </c>
      <c r="J48" s="159">
        <f t="shared" si="5"/>
        <v>0</v>
      </c>
      <c r="N48" s="456"/>
      <c r="O48" s="457"/>
      <c r="P48" s="457"/>
      <c r="Q48" s="457"/>
      <c r="R48" s="462"/>
      <c r="S48" s="53">
        <v>3.6</v>
      </c>
      <c r="T48" s="7" t="s">
        <v>42</v>
      </c>
      <c r="U48" s="7" t="s">
        <v>43</v>
      </c>
      <c r="V48" s="7" t="s">
        <v>46</v>
      </c>
      <c r="W48" s="52">
        <v>4.0999999999999996</v>
      </c>
      <c r="X48" s="3">
        <v>29</v>
      </c>
      <c r="Z48" s="53"/>
      <c r="AA48" s="7"/>
      <c r="AB48" s="7"/>
      <c r="AC48" s="7"/>
      <c r="AD48" s="52"/>
      <c r="AE48" s="3">
        <v>30</v>
      </c>
      <c r="AG48" s="53"/>
      <c r="AH48" s="7"/>
      <c r="AI48" s="7"/>
      <c r="AJ48" s="7"/>
      <c r="AK48" s="52"/>
      <c r="AL48" s="3">
        <v>41</v>
      </c>
      <c r="AN48" s="53"/>
      <c r="AO48" s="7"/>
      <c r="AP48" s="7"/>
      <c r="AQ48" s="7"/>
      <c r="AR48" s="52"/>
      <c r="AS48" s="62">
        <v>41</v>
      </c>
      <c r="AU48" s="53"/>
      <c r="AV48" s="7"/>
      <c r="AW48" s="7"/>
      <c r="AX48" s="7"/>
      <c r="AY48" s="52"/>
      <c r="AZ48" s="62">
        <v>0</v>
      </c>
    </row>
    <row r="49" spans="1:52" x14ac:dyDescent="0.4">
      <c r="A49" s="12">
        <f t="shared" si="8"/>
        <v>35</v>
      </c>
      <c r="B49" s="167">
        <f t="shared" si="0"/>
        <v>0</v>
      </c>
      <c r="C49" s="1">
        <f t="shared" si="13"/>
        <v>0</v>
      </c>
      <c r="D49" s="41">
        <f>D45</f>
        <v>0</v>
      </c>
      <c r="E49" s="41">
        <f>IF(AND(S49&lt;=ηAH,ηAH&lt;W49),1,0)</f>
        <v>0</v>
      </c>
      <c r="F49" s="157">
        <f t="shared" si="7"/>
        <v>0</v>
      </c>
      <c r="G49" s="158">
        <f t="shared" si="2"/>
        <v>0</v>
      </c>
      <c r="H49" s="158">
        <f t="shared" si="3"/>
        <v>0</v>
      </c>
      <c r="I49" s="158">
        <f t="shared" si="4"/>
        <v>0</v>
      </c>
      <c r="J49" s="159">
        <f t="shared" si="5"/>
        <v>0</v>
      </c>
      <c r="N49" s="456"/>
      <c r="O49" s="457"/>
      <c r="P49" s="457"/>
      <c r="Q49" s="457"/>
      <c r="R49" s="462"/>
      <c r="S49" s="53">
        <v>4.0999999999999996</v>
      </c>
      <c r="T49" s="7" t="s">
        <v>42</v>
      </c>
      <c r="U49" s="7" t="s">
        <v>43</v>
      </c>
      <c r="V49" s="7" t="s">
        <v>46</v>
      </c>
      <c r="W49" s="52">
        <v>4.5999999999999996</v>
      </c>
      <c r="X49" s="3">
        <v>28</v>
      </c>
      <c r="Z49" s="53"/>
      <c r="AA49" s="7"/>
      <c r="AB49" s="7"/>
      <c r="AC49" s="7"/>
      <c r="AD49" s="52"/>
      <c r="AE49" s="3">
        <v>29</v>
      </c>
      <c r="AG49" s="53"/>
      <c r="AH49" s="7"/>
      <c r="AI49" s="7"/>
      <c r="AJ49" s="7"/>
      <c r="AK49" s="52"/>
      <c r="AL49" s="3">
        <v>39</v>
      </c>
      <c r="AN49" s="53"/>
      <c r="AO49" s="7"/>
      <c r="AP49" s="7"/>
      <c r="AQ49" s="7"/>
      <c r="AR49" s="52"/>
      <c r="AS49" s="62">
        <v>39</v>
      </c>
      <c r="AU49" s="53"/>
      <c r="AV49" s="7"/>
      <c r="AW49" s="7"/>
      <c r="AX49" s="7"/>
      <c r="AY49" s="52"/>
      <c r="AZ49" s="62">
        <v>0</v>
      </c>
    </row>
    <row r="50" spans="1:52" ht="19.5" thickBot="1" x14ac:dyDescent="0.45">
      <c r="A50" s="12">
        <f t="shared" si="8"/>
        <v>36</v>
      </c>
      <c r="B50" s="167">
        <f t="shared" si="0"/>
        <v>0</v>
      </c>
      <c r="C50" s="43">
        <f t="shared" si="13"/>
        <v>0</v>
      </c>
      <c r="D50" s="41">
        <f>D45</f>
        <v>0</v>
      </c>
      <c r="E50" s="41">
        <f>IF(S50&lt;=ηAH,1,0)</f>
        <v>0</v>
      </c>
      <c r="F50" s="157">
        <f t="shared" si="7"/>
        <v>0</v>
      </c>
      <c r="G50" s="158">
        <f t="shared" si="2"/>
        <v>0</v>
      </c>
      <c r="H50" s="158">
        <f t="shared" si="3"/>
        <v>0</v>
      </c>
      <c r="I50" s="158">
        <f t="shared" si="4"/>
        <v>0</v>
      </c>
      <c r="J50" s="159">
        <f t="shared" si="5"/>
        <v>0</v>
      </c>
      <c r="N50" s="463"/>
      <c r="O50" s="464"/>
      <c r="P50" s="464"/>
      <c r="Q50" s="464"/>
      <c r="R50" s="466"/>
      <c r="S50" s="63">
        <v>4.5999999999999996</v>
      </c>
      <c r="T50" s="48" t="s">
        <v>42</v>
      </c>
      <c r="U50" s="48" t="s">
        <v>43</v>
      </c>
      <c r="V50" s="48"/>
      <c r="W50" s="67"/>
      <c r="X50" s="65">
        <v>27</v>
      </c>
      <c r="Y50" s="46"/>
      <c r="Z50" s="63"/>
      <c r="AA50" s="48"/>
      <c r="AB50" s="48"/>
      <c r="AC50" s="48"/>
      <c r="AD50" s="67"/>
      <c r="AE50" s="65">
        <v>28</v>
      </c>
      <c r="AF50" s="46"/>
      <c r="AG50" s="63"/>
      <c r="AH50" s="48"/>
      <c r="AI50" s="48"/>
      <c r="AJ50" s="48"/>
      <c r="AK50" s="67"/>
      <c r="AL50" s="65">
        <v>38</v>
      </c>
      <c r="AM50" s="46"/>
      <c r="AN50" s="63"/>
      <c r="AO50" s="48"/>
      <c r="AP50" s="48"/>
      <c r="AQ50" s="48"/>
      <c r="AR50" s="67"/>
      <c r="AS50" s="66">
        <v>37</v>
      </c>
      <c r="AU50" s="63"/>
      <c r="AV50" s="48"/>
      <c r="AW50" s="48"/>
      <c r="AX50" s="48"/>
      <c r="AY50" s="67"/>
      <c r="AZ50" s="66">
        <v>0</v>
      </c>
    </row>
    <row r="51" spans="1:52" ht="19.5" thickBot="1" x14ac:dyDescent="0.45">
      <c r="A51" s="12">
        <f t="shared" si="8"/>
        <v>37</v>
      </c>
      <c r="B51" s="167">
        <f t="shared" si="0"/>
        <v>0</v>
      </c>
      <c r="C51" s="5">
        <f>IF(AND(D51=1,E51=1),1,0)</f>
        <v>0</v>
      </c>
      <c r="D51" s="3">
        <f>IF(AND(N51&lt;UA値z,UA値z&lt;=R51),1,0)</f>
        <v>0</v>
      </c>
      <c r="E51" s="3">
        <f>IF(S51&lt;=ηAH,1,0)</f>
        <v>1</v>
      </c>
      <c r="F51" s="163">
        <f t="shared" si="7"/>
        <v>42</v>
      </c>
      <c r="G51" s="164">
        <f t="shared" si="2"/>
        <v>44</v>
      </c>
      <c r="H51" s="164">
        <f t="shared" si="3"/>
        <v>54</v>
      </c>
      <c r="I51" s="164">
        <f t="shared" si="4"/>
        <v>54</v>
      </c>
      <c r="J51" s="165">
        <f t="shared" si="5"/>
        <v>0</v>
      </c>
      <c r="N51" s="49">
        <v>1.81</v>
      </c>
      <c r="O51" s="50" t="s">
        <v>46</v>
      </c>
      <c r="P51" s="50" t="s">
        <v>45</v>
      </c>
      <c r="Q51" s="50" t="s">
        <v>42</v>
      </c>
      <c r="R51" s="68">
        <v>2.35</v>
      </c>
      <c r="S51" s="69">
        <v>2.1</v>
      </c>
      <c r="T51" s="50" t="s">
        <v>42</v>
      </c>
      <c r="U51" s="50" t="s">
        <v>43</v>
      </c>
      <c r="V51" s="50"/>
      <c r="W51" s="68"/>
      <c r="X51" s="55">
        <v>42</v>
      </c>
      <c r="Y51" s="50"/>
      <c r="Z51" s="69"/>
      <c r="AA51" s="50"/>
      <c r="AB51" s="50"/>
      <c r="AC51" s="50"/>
      <c r="AD51" s="68"/>
      <c r="AE51" s="55">
        <v>44</v>
      </c>
      <c r="AF51" s="50"/>
      <c r="AG51" s="69"/>
      <c r="AH51" s="50"/>
      <c r="AI51" s="50"/>
      <c r="AJ51" s="50"/>
      <c r="AK51" s="68"/>
      <c r="AL51" s="55">
        <v>54</v>
      </c>
      <c r="AM51" s="50"/>
      <c r="AN51" s="69"/>
      <c r="AO51" s="50"/>
      <c r="AP51" s="50"/>
      <c r="AQ51" s="50"/>
      <c r="AR51" s="68"/>
      <c r="AS51" s="56">
        <v>54</v>
      </c>
      <c r="AU51" s="69"/>
      <c r="AV51" s="50"/>
      <c r="AW51" s="50"/>
      <c r="AX51" s="50"/>
      <c r="AY51" s="68"/>
      <c r="AZ51" s="56">
        <v>0</v>
      </c>
    </row>
    <row r="52" spans="1:52" ht="19.5" thickBot="1" x14ac:dyDescent="0.45">
      <c r="A52" s="13">
        <f t="shared" si="8"/>
        <v>38</v>
      </c>
      <c r="B52" s="167">
        <f t="shared" si="0"/>
        <v>0</v>
      </c>
      <c r="C52" s="43">
        <f>IF(AND(D52=1,E52=1),1,0)</f>
        <v>0</v>
      </c>
      <c r="D52" s="42">
        <f>IF(N52&lt;UA値z,1,0)</f>
        <v>0</v>
      </c>
      <c r="E52" s="42">
        <f>IF(S52&lt;=ηAH,1,0)</f>
        <v>1</v>
      </c>
      <c r="F52" s="160">
        <f t="shared" si="7"/>
        <v>141</v>
      </c>
      <c r="G52" s="161">
        <f t="shared" si="2"/>
        <v>145</v>
      </c>
      <c r="H52" s="161">
        <f t="shared" si="3"/>
        <v>122</v>
      </c>
      <c r="I52" s="161">
        <f t="shared" si="4"/>
        <v>121</v>
      </c>
      <c r="J52" s="162">
        <f t="shared" si="5"/>
        <v>0</v>
      </c>
      <c r="N52" s="49">
        <v>2.35</v>
      </c>
      <c r="O52" s="50" t="s">
        <v>46</v>
      </c>
      <c r="P52" s="50" t="s">
        <v>45</v>
      </c>
      <c r="Q52" s="50"/>
      <c r="R52" s="68"/>
      <c r="S52" s="69">
        <v>2.1</v>
      </c>
      <c r="T52" s="50" t="s">
        <v>42</v>
      </c>
      <c r="U52" s="50" t="s">
        <v>43</v>
      </c>
      <c r="V52" s="50"/>
      <c r="W52" s="68"/>
      <c r="X52" s="55">
        <v>141</v>
      </c>
      <c r="Y52" s="50"/>
      <c r="Z52" s="69"/>
      <c r="AA52" s="50"/>
      <c r="AB52" s="50"/>
      <c r="AC52" s="50"/>
      <c r="AD52" s="68"/>
      <c r="AE52" s="55">
        <v>145</v>
      </c>
      <c r="AF52" s="50"/>
      <c r="AG52" s="69"/>
      <c r="AH52" s="50"/>
      <c r="AI52" s="50"/>
      <c r="AJ52" s="50"/>
      <c r="AK52" s="68"/>
      <c r="AL52" s="55">
        <v>122</v>
      </c>
      <c r="AM52" s="50"/>
      <c r="AN52" s="69"/>
      <c r="AO52" s="50"/>
      <c r="AP52" s="50"/>
      <c r="AQ52" s="50"/>
      <c r="AR52" s="68"/>
      <c r="AS52" s="56">
        <v>121</v>
      </c>
      <c r="AU52" s="69"/>
      <c r="AV52" s="50"/>
      <c r="AW52" s="50"/>
      <c r="AX52" s="50"/>
      <c r="AY52" s="68"/>
      <c r="AZ52" s="56">
        <v>0</v>
      </c>
    </row>
    <row r="53" spans="1:52" x14ac:dyDescent="0.4">
      <c r="A53" s="447" t="s">
        <v>245</v>
      </c>
      <c r="B53" s="449">
        <f>SUM(B15:B52)</f>
        <v>16</v>
      </c>
    </row>
    <row r="54" spans="1:52" ht="19.5" thickBot="1" x14ac:dyDescent="0.45">
      <c r="A54" s="448"/>
      <c r="B54" s="450"/>
      <c r="M54" t="s">
        <v>131</v>
      </c>
    </row>
    <row r="55" spans="1:52" x14ac:dyDescent="0.4">
      <c r="S55" s="467" t="s">
        <v>170</v>
      </c>
      <c r="T55" s="467"/>
      <c r="U55" s="467"/>
      <c r="V55" s="467"/>
      <c r="W55" s="467"/>
      <c r="X55" s="467"/>
      <c r="Z55" s="467" t="s">
        <v>170</v>
      </c>
      <c r="AA55" s="467"/>
      <c r="AB55" s="467"/>
      <c r="AC55" s="467"/>
      <c r="AD55" s="467"/>
      <c r="AE55" s="467"/>
      <c r="AG55" s="467" t="s">
        <v>170</v>
      </c>
      <c r="AH55" s="467"/>
      <c r="AI55" s="467"/>
      <c r="AJ55" s="467"/>
      <c r="AK55" s="467"/>
      <c r="AL55" s="467"/>
      <c r="AN55" s="467" t="s">
        <v>170</v>
      </c>
      <c r="AO55" s="467"/>
      <c r="AP55" s="467"/>
      <c r="AQ55" s="467"/>
      <c r="AR55" s="467"/>
      <c r="AS55" s="467"/>
      <c r="AU55" s="467" t="s">
        <v>172</v>
      </c>
      <c r="AV55" s="467"/>
      <c r="AW55" s="467"/>
      <c r="AX55" s="467"/>
      <c r="AY55" s="467"/>
      <c r="AZ55" s="467"/>
    </row>
    <row r="56" spans="1:52" x14ac:dyDescent="0.4">
      <c r="S56" s="467"/>
      <c r="T56" s="467"/>
      <c r="U56" s="467"/>
      <c r="V56" s="467"/>
      <c r="W56" s="467"/>
      <c r="X56" s="467"/>
      <c r="Z56" s="467"/>
      <c r="AA56" s="467"/>
      <c r="AB56" s="467"/>
      <c r="AC56" s="467"/>
      <c r="AD56" s="467"/>
      <c r="AE56" s="467"/>
      <c r="AG56" s="467"/>
      <c r="AH56" s="467"/>
      <c r="AI56" s="467"/>
      <c r="AJ56" s="467"/>
      <c r="AK56" s="467"/>
      <c r="AL56" s="467"/>
      <c r="AN56" s="467"/>
      <c r="AO56" s="467"/>
      <c r="AP56" s="467"/>
      <c r="AQ56" s="467"/>
      <c r="AR56" s="467"/>
      <c r="AS56" s="467"/>
      <c r="AU56" s="467"/>
      <c r="AV56" s="467"/>
      <c r="AW56" s="467"/>
      <c r="AX56" s="467"/>
      <c r="AY56" s="467"/>
      <c r="AZ56" s="467"/>
    </row>
    <row r="57" spans="1:52" x14ac:dyDescent="0.4">
      <c r="S57" s="467"/>
      <c r="T57" s="467"/>
      <c r="U57" s="467"/>
      <c r="V57" s="467"/>
      <c r="W57" s="467"/>
      <c r="X57" s="467"/>
      <c r="Z57" s="467"/>
      <c r="AA57" s="467"/>
      <c r="AB57" s="467"/>
      <c r="AC57" s="467"/>
      <c r="AD57" s="467"/>
      <c r="AE57" s="467"/>
      <c r="AG57" s="467"/>
      <c r="AH57" s="467"/>
      <c r="AI57" s="467"/>
      <c r="AJ57" s="467"/>
      <c r="AK57" s="467"/>
      <c r="AL57" s="467"/>
      <c r="AN57" s="467"/>
      <c r="AO57" s="467"/>
      <c r="AP57" s="467"/>
      <c r="AQ57" s="467"/>
      <c r="AR57" s="467"/>
      <c r="AS57" s="467"/>
      <c r="AU57" s="467"/>
      <c r="AV57" s="467"/>
      <c r="AW57" s="467"/>
      <c r="AX57" s="467"/>
      <c r="AY57" s="467"/>
      <c r="AZ57" s="467"/>
    </row>
    <row r="58" spans="1:52" x14ac:dyDescent="0.4">
      <c r="S58" s="467"/>
      <c r="T58" s="467"/>
      <c r="U58" s="467"/>
      <c r="V58" s="467"/>
      <c r="W58" s="467"/>
      <c r="X58" s="467"/>
      <c r="Z58" s="467"/>
      <c r="AA58" s="467"/>
      <c r="AB58" s="467"/>
      <c r="AC58" s="467"/>
      <c r="AD58" s="467"/>
      <c r="AE58" s="467"/>
      <c r="AG58" s="467"/>
      <c r="AH58" s="467"/>
      <c r="AI58" s="467"/>
      <c r="AJ58" s="467"/>
      <c r="AK58" s="467"/>
      <c r="AL58" s="467"/>
      <c r="AN58" s="467"/>
      <c r="AO58" s="467"/>
      <c r="AP58" s="467"/>
      <c r="AQ58" s="467"/>
      <c r="AR58" s="467"/>
      <c r="AS58" s="467"/>
      <c r="AU58" s="467"/>
      <c r="AV58" s="467"/>
      <c r="AW58" s="467"/>
      <c r="AX58" s="467"/>
      <c r="AY58" s="467"/>
      <c r="AZ58" s="467"/>
    </row>
    <row r="59" spans="1:52" x14ac:dyDescent="0.4">
      <c r="S59" s="467"/>
      <c r="T59" s="467"/>
      <c r="U59" s="467"/>
      <c r="V59" s="467"/>
      <c r="W59" s="467"/>
      <c r="X59" s="467"/>
      <c r="Z59" s="467"/>
      <c r="AA59" s="467"/>
      <c r="AB59" s="467"/>
      <c r="AC59" s="467"/>
      <c r="AD59" s="467"/>
      <c r="AE59" s="467"/>
      <c r="AG59" s="467"/>
      <c r="AH59" s="467"/>
      <c r="AI59" s="467"/>
      <c r="AJ59" s="467"/>
      <c r="AK59" s="467"/>
      <c r="AL59" s="467"/>
      <c r="AN59" s="467"/>
      <c r="AO59" s="467"/>
      <c r="AP59" s="467"/>
      <c r="AQ59" s="467"/>
      <c r="AR59" s="467"/>
      <c r="AS59" s="467"/>
      <c r="AU59" s="467"/>
      <c r="AV59" s="467"/>
      <c r="AW59" s="467"/>
      <c r="AX59" s="467"/>
      <c r="AY59" s="467"/>
      <c r="AZ59" s="467"/>
    </row>
    <row r="60" spans="1:52" x14ac:dyDescent="0.4">
      <c r="B60" s="4" t="s">
        <v>246</v>
      </c>
      <c r="C60" s="7"/>
      <c r="D60" s="7"/>
      <c r="E60" s="7"/>
      <c r="F60" s="7"/>
      <c r="G60" s="7"/>
      <c r="H60" s="7"/>
      <c r="I60" s="7"/>
      <c r="J60" s="7"/>
      <c r="K60" s="12"/>
      <c r="S60" s="467"/>
      <c r="T60" s="467"/>
      <c r="U60" s="467"/>
      <c r="V60" s="467"/>
      <c r="W60" s="467"/>
      <c r="X60" s="467"/>
      <c r="Z60" s="467"/>
      <c r="AA60" s="467"/>
      <c r="AB60" s="467"/>
      <c r="AC60" s="467"/>
      <c r="AD60" s="467"/>
      <c r="AE60" s="467"/>
      <c r="AG60" s="467"/>
      <c r="AH60" s="467"/>
      <c r="AI60" s="467"/>
      <c r="AJ60" s="467"/>
      <c r="AK60" s="467"/>
      <c r="AL60" s="467"/>
      <c r="AN60" s="467"/>
      <c r="AO60" s="467"/>
      <c r="AP60" s="467"/>
      <c r="AQ60" s="467"/>
      <c r="AR60" s="467"/>
      <c r="AS60" s="467"/>
      <c r="AU60" s="467"/>
      <c r="AV60" s="467"/>
      <c r="AW60" s="467"/>
      <c r="AX60" s="467"/>
      <c r="AY60" s="467"/>
      <c r="AZ60" s="467"/>
    </row>
    <row r="61" spans="1:52" ht="19.5" thickBot="1" x14ac:dyDescent="0.45">
      <c r="B61" s="451" t="s">
        <v>235</v>
      </c>
      <c r="C61" s="452"/>
      <c r="D61" s="454" t="s">
        <v>45</v>
      </c>
      <c r="E61" s="454" t="s">
        <v>204</v>
      </c>
      <c r="F61" s="13" t="s">
        <v>44</v>
      </c>
      <c r="G61" s="2"/>
      <c r="H61" s="2"/>
      <c r="I61" s="2"/>
      <c r="J61" s="2"/>
      <c r="K61" s="12"/>
      <c r="S61" s="468"/>
      <c r="T61" s="468"/>
      <c r="U61" s="468"/>
      <c r="V61" s="468"/>
      <c r="W61" s="468"/>
      <c r="X61" s="468"/>
      <c r="Z61" s="468"/>
      <c r="AA61" s="468"/>
      <c r="AB61" s="468"/>
      <c r="AC61" s="468"/>
      <c r="AD61" s="468"/>
      <c r="AE61" s="468"/>
      <c r="AG61" s="468"/>
      <c r="AH61" s="468"/>
      <c r="AI61" s="468"/>
      <c r="AJ61" s="468"/>
      <c r="AK61" s="468"/>
      <c r="AL61" s="468"/>
      <c r="AN61" s="468"/>
      <c r="AO61" s="468"/>
      <c r="AP61" s="468"/>
      <c r="AQ61" s="468"/>
      <c r="AR61" s="468"/>
      <c r="AS61" s="468"/>
      <c r="AU61" s="468"/>
      <c r="AV61" s="468"/>
      <c r="AW61" s="468"/>
      <c r="AX61" s="468"/>
      <c r="AY61" s="468"/>
      <c r="AZ61" s="468"/>
    </row>
    <row r="62" spans="1:52" ht="19.5" thickBot="1" x14ac:dyDescent="0.45">
      <c r="A62" s="3" t="s">
        <v>244</v>
      </c>
      <c r="B62" s="41" t="s">
        <v>44</v>
      </c>
      <c r="C62" s="42" t="s">
        <v>242</v>
      </c>
      <c r="D62" s="455"/>
      <c r="E62" s="455"/>
      <c r="F62" s="3">
        <v>1</v>
      </c>
      <c r="G62" s="3">
        <v>2</v>
      </c>
      <c r="H62" s="3">
        <v>3</v>
      </c>
      <c r="I62" s="3">
        <v>4</v>
      </c>
      <c r="J62" s="3">
        <v>5</v>
      </c>
      <c r="N62" s="460" t="s">
        <v>41</v>
      </c>
      <c r="O62" s="461"/>
      <c r="P62" s="461"/>
      <c r="Q62" s="461"/>
      <c r="R62" s="461"/>
      <c r="S62" s="461" t="s">
        <v>230</v>
      </c>
      <c r="T62" s="461"/>
      <c r="U62" s="461"/>
      <c r="V62" s="461"/>
      <c r="W62" s="461"/>
      <c r="X62" s="55" t="s">
        <v>44</v>
      </c>
      <c r="Y62" s="50"/>
      <c r="Z62" s="461" t="s">
        <v>230</v>
      </c>
      <c r="AA62" s="461"/>
      <c r="AB62" s="461"/>
      <c r="AC62" s="461"/>
      <c r="AD62" s="461"/>
      <c r="AE62" s="55" t="s">
        <v>44</v>
      </c>
      <c r="AF62" s="50"/>
      <c r="AG62" s="461" t="s">
        <v>230</v>
      </c>
      <c r="AH62" s="461"/>
      <c r="AI62" s="461"/>
      <c r="AJ62" s="461"/>
      <c r="AK62" s="461"/>
      <c r="AL62" s="55" t="s">
        <v>44</v>
      </c>
      <c r="AM62" s="50"/>
      <c r="AN62" s="461" t="s">
        <v>230</v>
      </c>
      <c r="AO62" s="461"/>
      <c r="AP62" s="461"/>
      <c r="AQ62" s="461"/>
      <c r="AR62" s="461"/>
      <c r="AS62" s="56" t="s">
        <v>44</v>
      </c>
      <c r="AU62" s="461" t="s">
        <v>230</v>
      </c>
      <c r="AV62" s="461"/>
      <c r="AW62" s="461"/>
      <c r="AX62" s="461"/>
      <c r="AY62" s="461"/>
      <c r="AZ62" s="56" t="s">
        <v>44</v>
      </c>
    </row>
    <row r="63" spans="1:52" x14ac:dyDescent="0.4">
      <c r="A63" s="38">
        <v>1</v>
      </c>
      <c r="B63" s="149">
        <f t="shared" ref="B63:B98" si="14">IF(C63=1,INDEX(冷房設備配列7地域,A63,暖房方式番号Z),0)</f>
        <v>0</v>
      </c>
      <c r="C63" s="40">
        <f>IF(AND(D63=1,E63=1),1,0)</f>
        <v>0</v>
      </c>
      <c r="D63" s="40">
        <f>IF(AND(N63&lt;=UA値z,UA値z&lt;R63),1,0)</f>
        <v>1</v>
      </c>
      <c r="E63" s="40">
        <f>IF(ηAC値Z&lt;=W63,1,0)</f>
        <v>0</v>
      </c>
      <c r="F63" s="154">
        <f>IF(E63=1,X63,0)</f>
        <v>0</v>
      </c>
      <c r="G63" s="155">
        <f t="shared" ref="G63:G98" si="15">IF(E63=1,AE63,0)</f>
        <v>0</v>
      </c>
      <c r="H63" s="155">
        <f t="shared" ref="H63:H98" si="16">IF(E63=1,AL63,0)</f>
        <v>0</v>
      </c>
      <c r="I63" s="155">
        <f t="shared" ref="I63:I98" si="17">IF(E63=1,AS63,0)</f>
        <v>0</v>
      </c>
      <c r="J63" s="156">
        <f t="shared" ref="J63:J98" si="18">IF(E63=1,AZ63,0)</f>
        <v>0</v>
      </c>
      <c r="N63" s="458">
        <v>0.6</v>
      </c>
      <c r="O63" s="459" t="s">
        <v>42</v>
      </c>
      <c r="P63" s="459" t="s">
        <v>45</v>
      </c>
      <c r="Q63" s="459" t="s">
        <v>46</v>
      </c>
      <c r="R63" s="465">
        <v>0.69</v>
      </c>
      <c r="S63" s="70"/>
      <c r="T63" s="47"/>
      <c r="U63" s="47" t="s">
        <v>47</v>
      </c>
      <c r="V63" s="47" t="s">
        <v>42</v>
      </c>
      <c r="W63" s="58">
        <v>1.7</v>
      </c>
      <c r="X63" s="59">
        <v>11</v>
      </c>
      <c r="Y63" s="60"/>
      <c r="Z63" s="70"/>
      <c r="AA63" s="47"/>
      <c r="AB63" s="47"/>
      <c r="AC63" s="47"/>
      <c r="AD63" s="58"/>
      <c r="AE63" s="59">
        <v>11</v>
      </c>
      <c r="AF63" s="60"/>
      <c r="AG63" s="70"/>
      <c r="AH63" s="47"/>
      <c r="AI63" s="47"/>
      <c r="AJ63" s="47"/>
      <c r="AK63" s="58"/>
      <c r="AL63" s="59">
        <v>11</v>
      </c>
      <c r="AM63" s="60"/>
      <c r="AN63" s="70"/>
      <c r="AO63" s="47"/>
      <c r="AP63" s="47"/>
      <c r="AQ63" s="47"/>
      <c r="AR63" s="58"/>
      <c r="AS63" s="61">
        <v>11</v>
      </c>
      <c r="AU63" s="70"/>
      <c r="AV63" s="47"/>
      <c r="AW63" s="47"/>
      <c r="AX63" s="47"/>
      <c r="AY63" s="58"/>
      <c r="AZ63" s="61">
        <v>0</v>
      </c>
    </row>
    <row r="64" spans="1:52" x14ac:dyDescent="0.4">
      <c r="A64" s="12">
        <f>A63+1</f>
        <v>2</v>
      </c>
      <c r="B64" s="77">
        <f t="shared" si="14"/>
        <v>13</v>
      </c>
      <c r="C64" s="41">
        <f>IF(AND(D64=1,E64=1),1,0)</f>
        <v>1</v>
      </c>
      <c r="D64" s="41">
        <f>D63</f>
        <v>1</v>
      </c>
      <c r="E64" s="41">
        <f>IF(AND(S64&lt;ηAC値Z,ηAC値Z&lt;=W64),1,0)</f>
        <v>1</v>
      </c>
      <c r="F64" s="157">
        <f t="shared" ref="F64:F79" si="19">IF(E64=1,X64,0)</f>
        <v>13</v>
      </c>
      <c r="G64" s="158">
        <f t="shared" si="15"/>
        <v>14</v>
      </c>
      <c r="H64" s="158">
        <f t="shared" si="16"/>
        <v>14</v>
      </c>
      <c r="I64" s="158">
        <f t="shared" si="17"/>
        <v>14</v>
      </c>
      <c r="J64" s="159">
        <f t="shared" si="18"/>
        <v>0</v>
      </c>
      <c r="N64" s="456"/>
      <c r="O64" s="457"/>
      <c r="P64" s="457"/>
      <c r="Q64" s="457"/>
      <c r="R64" s="462"/>
      <c r="S64" s="53">
        <v>1.7</v>
      </c>
      <c r="T64" s="7" t="s">
        <v>46</v>
      </c>
      <c r="U64" s="7" t="s">
        <v>47</v>
      </c>
      <c r="V64" s="7" t="s">
        <v>42</v>
      </c>
      <c r="W64" s="52">
        <v>2.2000000000000002</v>
      </c>
      <c r="X64" s="3">
        <v>13</v>
      </c>
      <c r="Z64" s="53"/>
      <c r="AA64" s="7"/>
      <c r="AB64" s="7"/>
      <c r="AC64" s="7"/>
      <c r="AD64" s="52"/>
      <c r="AE64" s="3">
        <v>14</v>
      </c>
      <c r="AG64" s="53"/>
      <c r="AH64" s="7"/>
      <c r="AI64" s="7"/>
      <c r="AJ64" s="7"/>
      <c r="AK64" s="52"/>
      <c r="AL64" s="3">
        <v>14</v>
      </c>
      <c r="AN64" s="53"/>
      <c r="AO64" s="7"/>
      <c r="AP64" s="7"/>
      <c r="AQ64" s="7"/>
      <c r="AR64" s="52"/>
      <c r="AS64" s="62">
        <v>14</v>
      </c>
      <c r="AU64" s="53"/>
      <c r="AV64" s="7"/>
      <c r="AW64" s="7"/>
      <c r="AX64" s="7"/>
      <c r="AY64" s="52"/>
      <c r="AZ64" s="62">
        <v>0</v>
      </c>
    </row>
    <row r="65" spans="1:52" x14ac:dyDescent="0.4">
      <c r="A65" s="12">
        <f t="shared" ref="A65:A98" si="20">A64+1</f>
        <v>3</v>
      </c>
      <c r="B65" s="77">
        <f t="shared" si="14"/>
        <v>0</v>
      </c>
      <c r="C65" s="41">
        <f>IF(AND(D65=1,E65=1),1,0)</f>
        <v>0</v>
      </c>
      <c r="D65" s="41">
        <f>D63</f>
        <v>1</v>
      </c>
      <c r="E65" s="41">
        <f>IF(AND(S65&lt;ηAC値Z,ηAC値Z&lt;=W65),1,0)</f>
        <v>0</v>
      </c>
      <c r="F65" s="157">
        <f t="shared" si="19"/>
        <v>0</v>
      </c>
      <c r="G65" s="158">
        <f t="shared" si="15"/>
        <v>0</v>
      </c>
      <c r="H65" s="158">
        <f t="shared" si="16"/>
        <v>0</v>
      </c>
      <c r="I65" s="158">
        <f t="shared" si="17"/>
        <v>0</v>
      </c>
      <c r="J65" s="159">
        <f t="shared" si="18"/>
        <v>0</v>
      </c>
      <c r="N65" s="456"/>
      <c r="O65" s="457"/>
      <c r="P65" s="457"/>
      <c r="Q65" s="457"/>
      <c r="R65" s="462"/>
      <c r="S65" s="53">
        <v>2.2000000000000002</v>
      </c>
      <c r="T65" s="7" t="s">
        <v>46</v>
      </c>
      <c r="U65" s="7" t="s">
        <v>47</v>
      </c>
      <c r="V65" s="7" t="s">
        <v>42</v>
      </c>
      <c r="W65" s="52">
        <v>2.7</v>
      </c>
      <c r="X65" s="3">
        <v>15</v>
      </c>
      <c r="Z65" s="53"/>
      <c r="AA65" s="7"/>
      <c r="AB65" s="7"/>
      <c r="AC65" s="7"/>
      <c r="AD65" s="52"/>
      <c r="AE65" s="3">
        <v>16</v>
      </c>
      <c r="AG65" s="53"/>
      <c r="AH65" s="7"/>
      <c r="AI65" s="7"/>
      <c r="AJ65" s="7"/>
      <c r="AK65" s="52"/>
      <c r="AL65" s="3">
        <v>16</v>
      </c>
      <c r="AN65" s="53"/>
      <c r="AO65" s="7"/>
      <c r="AP65" s="7"/>
      <c r="AQ65" s="7"/>
      <c r="AR65" s="52"/>
      <c r="AS65" s="62">
        <v>16</v>
      </c>
      <c r="AU65" s="53"/>
      <c r="AV65" s="7"/>
      <c r="AW65" s="7"/>
      <c r="AX65" s="7"/>
      <c r="AY65" s="52"/>
      <c r="AZ65" s="62">
        <v>0</v>
      </c>
    </row>
    <row r="66" spans="1:52" x14ac:dyDescent="0.4">
      <c r="A66" s="12">
        <f t="shared" si="20"/>
        <v>4</v>
      </c>
      <c r="B66" s="77">
        <f t="shared" si="14"/>
        <v>0</v>
      </c>
      <c r="C66" s="41">
        <f t="shared" ref="C66:C88" si="21">IF(AND(D66=1,E66=1),1,0)</f>
        <v>0</v>
      </c>
      <c r="D66" s="41">
        <f>D63</f>
        <v>1</v>
      </c>
      <c r="E66" s="41">
        <f>IF(AND(S66&lt;ηAC値Z,ηAC値Z&lt;=W66),1,0)</f>
        <v>0</v>
      </c>
      <c r="F66" s="157">
        <f t="shared" si="19"/>
        <v>0</v>
      </c>
      <c r="G66" s="158">
        <f t="shared" si="15"/>
        <v>0</v>
      </c>
      <c r="H66" s="158">
        <f t="shared" si="16"/>
        <v>0</v>
      </c>
      <c r="I66" s="158">
        <f t="shared" si="17"/>
        <v>0</v>
      </c>
      <c r="J66" s="159">
        <f t="shared" si="18"/>
        <v>0</v>
      </c>
      <c r="N66" s="456"/>
      <c r="O66" s="457"/>
      <c r="P66" s="457"/>
      <c r="Q66" s="457"/>
      <c r="R66" s="462"/>
      <c r="S66" s="53">
        <v>2.7</v>
      </c>
      <c r="T66" s="7" t="s">
        <v>46</v>
      </c>
      <c r="U66" s="7" t="s">
        <v>47</v>
      </c>
      <c r="V66" s="7" t="s">
        <v>42</v>
      </c>
      <c r="W66" s="52">
        <v>3.2</v>
      </c>
      <c r="X66" s="3">
        <v>17</v>
      </c>
      <c r="Z66" s="53"/>
      <c r="AA66" s="7"/>
      <c r="AB66" s="7"/>
      <c r="AC66" s="7"/>
      <c r="AD66" s="52"/>
      <c r="AE66" s="3">
        <v>19</v>
      </c>
      <c r="AG66" s="53"/>
      <c r="AH66" s="7"/>
      <c r="AI66" s="7"/>
      <c r="AJ66" s="7"/>
      <c r="AK66" s="52"/>
      <c r="AL66" s="3">
        <v>19</v>
      </c>
      <c r="AN66" s="53"/>
      <c r="AO66" s="7"/>
      <c r="AP66" s="7"/>
      <c r="AQ66" s="7"/>
      <c r="AR66" s="52"/>
      <c r="AS66" s="62">
        <v>19</v>
      </c>
      <c r="AU66" s="53"/>
      <c r="AV66" s="7"/>
      <c r="AW66" s="7"/>
      <c r="AX66" s="7"/>
      <c r="AY66" s="52"/>
      <c r="AZ66" s="62">
        <v>0</v>
      </c>
    </row>
    <row r="67" spans="1:52" x14ac:dyDescent="0.4">
      <c r="A67" s="12">
        <f t="shared" si="20"/>
        <v>5</v>
      </c>
      <c r="B67" s="77">
        <f t="shared" si="14"/>
        <v>0</v>
      </c>
      <c r="C67" s="41">
        <f t="shared" ref="C67:C83" si="22">IF(AND(D67=1,E67=1),1,0)</f>
        <v>0</v>
      </c>
      <c r="D67" s="41">
        <f>D63</f>
        <v>1</v>
      </c>
      <c r="E67" s="41">
        <f>IF(AND(S67&lt;ηAC値Z,ηAC値Z&lt;=W67),1,0)</f>
        <v>0</v>
      </c>
      <c r="F67" s="157">
        <f t="shared" si="19"/>
        <v>0</v>
      </c>
      <c r="G67" s="158">
        <f t="shared" si="15"/>
        <v>0</v>
      </c>
      <c r="H67" s="158">
        <f t="shared" si="16"/>
        <v>0</v>
      </c>
      <c r="I67" s="158">
        <f t="shared" si="17"/>
        <v>0</v>
      </c>
      <c r="J67" s="159">
        <f t="shared" si="18"/>
        <v>0</v>
      </c>
      <c r="N67" s="456"/>
      <c r="O67" s="457"/>
      <c r="P67" s="457"/>
      <c r="Q67" s="457"/>
      <c r="R67" s="462"/>
      <c r="S67" s="53">
        <v>3.2</v>
      </c>
      <c r="T67" s="7" t="s">
        <v>46</v>
      </c>
      <c r="U67" s="7" t="s">
        <v>47</v>
      </c>
      <c r="V67" s="7" t="s">
        <v>42</v>
      </c>
      <c r="W67" s="52">
        <v>3.7</v>
      </c>
      <c r="X67" s="3">
        <v>20</v>
      </c>
      <c r="Z67" s="53"/>
      <c r="AA67" s="7"/>
      <c r="AB67" s="7"/>
      <c r="AC67" s="7"/>
      <c r="AD67" s="52"/>
      <c r="AE67" s="3">
        <v>21</v>
      </c>
      <c r="AG67" s="53"/>
      <c r="AH67" s="7"/>
      <c r="AI67" s="7"/>
      <c r="AJ67" s="7"/>
      <c r="AK67" s="52"/>
      <c r="AL67" s="3">
        <v>21</v>
      </c>
      <c r="AN67" s="53"/>
      <c r="AO67" s="7"/>
      <c r="AP67" s="7"/>
      <c r="AQ67" s="7"/>
      <c r="AR67" s="52"/>
      <c r="AS67" s="62">
        <v>21</v>
      </c>
      <c r="AU67" s="53"/>
      <c r="AV67" s="7"/>
      <c r="AW67" s="7"/>
      <c r="AX67" s="7"/>
      <c r="AY67" s="52"/>
      <c r="AZ67" s="62">
        <v>0</v>
      </c>
    </row>
    <row r="68" spans="1:52" ht="19.5" thickBot="1" x14ac:dyDescent="0.45">
      <c r="A68" s="12">
        <f t="shared" si="20"/>
        <v>6</v>
      </c>
      <c r="B68" s="77">
        <f t="shared" si="14"/>
        <v>0</v>
      </c>
      <c r="C68" s="41">
        <f t="shared" si="22"/>
        <v>0</v>
      </c>
      <c r="D68" s="42">
        <f>D63</f>
        <v>1</v>
      </c>
      <c r="E68" s="41">
        <f>IF(AND(S68&lt;ηAC値Z,ηAC値Z&lt;=W68),1,0)</f>
        <v>0</v>
      </c>
      <c r="F68" s="160">
        <f t="shared" si="19"/>
        <v>0</v>
      </c>
      <c r="G68" s="161">
        <f t="shared" si="15"/>
        <v>0</v>
      </c>
      <c r="H68" s="161">
        <f t="shared" si="16"/>
        <v>0</v>
      </c>
      <c r="I68" s="161">
        <f t="shared" si="17"/>
        <v>0</v>
      </c>
      <c r="J68" s="162">
        <f t="shared" si="18"/>
        <v>0</v>
      </c>
      <c r="N68" s="463"/>
      <c r="O68" s="464"/>
      <c r="P68" s="464"/>
      <c r="Q68" s="464"/>
      <c r="R68" s="466"/>
      <c r="S68" s="63">
        <v>3.7</v>
      </c>
      <c r="T68" s="48" t="s">
        <v>46</v>
      </c>
      <c r="U68" s="48" t="s">
        <v>47</v>
      </c>
      <c r="V68" s="48" t="s">
        <v>42</v>
      </c>
      <c r="W68" s="64">
        <v>4.2</v>
      </c>
      <c r="X68" s="65">
        <v>22</v>
      </c>
      <c r="Y68" s="46"/>
      <c r="Z68" s="63"/>
      <c r="AA68" s="48"/>
      <c r="AB68" s="48"/>
      <c r="AC68" s="48"/>
      <c r="AD68" s="64"/>
      <c r="AE68" s="65">
        <v>23</v>
      </c>
      <c r="AF68" s="46"/>
      <c r="AG68" s="63"/>
      <c r="AH68" s="48"/>
      <c r="AI68" s="48"/>
      <c r="AJ68" s="48"/>
      <c r="AK68" s="64"/>
      <c r="AL68" s="65">
        <v>23</v>
      </c>
      <c r="AM68" s="46"/>
      <c r="AN68" s="63"/>
      <c r="AO68" s="48"/>
      <c r="AP68" s="48"/>
      <c r="AQ68" s="48"/>
      <c r="AR68" s="64"/>
      <c r="AS68" s="66">
        <v>23</v>
      </c>
      <c r="AU68" s="63"/>
      <c r="AV68" s="48"/>
      <c r="AW68" s="48"/>
      <c r="AX68" s="48"/>
      <c r="AY68" s="64"/>
      <c r="AZ68" s="66">
        <v>0</v>
      </c>
    </row>
    <row r="69" spans="1:52" x14ac:dyDescent="0.4">
      <c r="A69" s="12">
        <f t="shared" si="20"/>
        <v>7</v>
      </c>
      <c r="B69" s="77">
        <f t="shared" si="14"/>
        <v>0</v>
      </c>
      <c r="C69" s="41">
        <f t="shared" si="22"/>
        <v>0</v>
      </c>
      <c r="D69" s="40">
        <f>IF(AND(N69&lt;=UA値z,UA値z&lt;R69),1,0)</f>
        <v>0</v>
      </c>
      <c r="E69" s="40">
        <f>IF(ηAC値Z&lt;=W69,1,0)</f>
        <v>0</v>
      </c>
      <c r="F69" s="154">
        <f t="shared" si="19"/>
        <v>0</v>
      </c>
      <c r="G69" s="155">
        <f t="shared" si="15"/>
        <v>0</v>
      </c>
      <c r="H69" s="155">
        <f t="shared" si="16"/>
        <v>0</v>
      </c>
      <c r="I69" s="155">
        <f t="shared" si="17"/>
        <v>0</v>
      </c>
      <c r="J69" s="156">
        <f t="shared" si="18"/>
        <v>0</v>
      </c>
      <c r="N69" s="458">
        <v>0.69</v>
      </c>
      <c r="O69" s="459" t="s">
        <v>42</v>
      </c>
      <c r="P69" s="459" t="s">
        <v>45</v>
      </c>
      <c r="Q69" s="459" t="s">
        <v>46</v>
      </c>
      <c r="R69" s="465">
        <v>0.78</v>
      </c>
      <c r="S69" s="70"/>
      <c r="T69" s="47"/>
      <c r="U69" s="47" t="s">
        <v>47</v>
      </c>
      <c r="V69" s="47" t="s">
        <v>42</v>
      </c>
      <c r="W69" s="58">
        <v>1.7</v>
      </c>
      <c r="X69" s="59">
        <v>10</v>
      </c>
      <c r="Y69" s="60"/>
      <c r="Z69" s="70"/>
      <c r="AA69" s="47"/>
      <c r="AB69" s="47"/>
      <c r="AC69" s="47"/>
      <c r="AD69" s="58"/>
      <c r="AE69" s="59">
        <v>11</v>
      </c>
      <c r="AF69" s="60"/>
      <c r="AG69" s="70"/>
      <c r="AH69" s="47"/>
      <c r="AI69" s="47"/>
      <c r="AJ69" s="47"/>
      <c r="AK69" s="58"/>
      <c r="AL69" s="59">
        <v>11</v>
      </c>
      <c r="AM69" s="60"/>
      <c r="AN69" s="70"/>
      <c r="AO69" s="47"/>
      <c r="AP69" s="47"/>
      <c r="AQ69" s="47"/>
      <c r="AR69" s="58"/>
      <c r="AS69" s="61">
        <v>11</v>
      </c>
      <c r="AU69" s="70"/>
      <c r="AV69" s="47"/>
      <c r="AW69" s="47"/>
      <c r="AX69" s="47"/>
      <c r="AY69" s="58"/>
      <c r="AZ69" s="61">
        <v>0</v>
      </c>
    </row>
    <row r="70" spans="1:52" x14ac:dyDescent="0.4">
      <c r="A70" s="12">
        <f t="shared" si="20"/>
        <v>8</v>
      </c>
      <c r="B70" s="77">
        <f t="shared" si="14"/>
        <v>0</v>
      </c>
      <c r="C70" s="41">
        <f t="shared" si="22"/>
        <v>0</v>
      </c>
      <c r="D70" s="41">
        <f>D69</f>
        <v>0</v>
      </c>
      <c r="E70" s="41">
        <f>IF(AND(S70&lt;ηAC値Z,ηAC値Z&lt;=W70),1,0)</f>
        <v>1</v>
      </c>
      <c r="F70" s="157">
        <f t="shared" si="19"/>
        <v>13</v>
      </c>
      <c r="G70" s="158">
        <f t="shared" si="15"/>
        <v>13</v>
      </c>
      <c r="H70" s="158">
        <f t="shared" si="16"/>
        <v>13</v>
      </c>
      <c r="I70" s="158">
        <f t="shared" si="17"/>
        <v>13</v>
      </c>
      <c r="J70" s="159">
        <f t="shared" si="18"/>
        <v>0</v>
      </c>
      <c r="N70" s="456"/>
      <c r="O70" s="457"/>
      <c r="P70" s="457"/>
      <c r="Q70" s="457"/>
      <c r="R70" s="462"/>
      <c r="S70" s="53">
        <v>1.7</v>
      </c>
      <c r="T70" s="7" t="s">
        <v>46</v>
      </c>
      <c r="U70" s="7" t="s">
        <v>47</v>
      </c>
      <c r="V70" s="7" t="s">
        <v>42</v>
      </c>
      <c r="W70" s="52">
        <v>2.2000000000000002</v>
      </c>
      <c r="X70" s="3">
        <v>13</v>
      </c>
      <c r="Z70" s="53"/>
      <c r="AA70" s="7"/>
      <c r="AB70" s="7"/>
      <c r="AC70" s="7"/>
      <c r="AD70" s="52"/>
      <c r="AE70" s="3">
        <v>13</v>
      </c>
      <c r="AG70" s="53"/>
      <c r="AH70" s="7"/>
      <c r="AI70" s="7"/>
      <c r="AJ70" s="7"/>
      <c r="AK70" s="52"/>
      <c r="AL70" s="3">
        <v>13</v>
      </c>
      <c r="AN70" s="53"/>
      <c r="AO70" s="7"/>
      <c r="AP70" s="7"/>
      <c r="AQ70" s="7"/>
      <c r="AR70" s="52"/>
      <c r="AS70" s="62">
        <v>13</v>
      </c>
      <c r="AU70" s="53"/>
      <c r="AV70" s="7"/>
      <c r="AW70" s="7"/>
      <c r="AX70" s="7"/>
      <c r="AY70" s="52"/>
      <c r="AZ70" s="62">
        <v>0</v>
      </c>
    </row>
    <row r="71" spans="1:52" x14ac:dyDescent="0.4">
      <c r="A71" s="12">
        <f t="shared" si="20"/>
        <v>9</v>
      </c>
      <c r="B71" s="77">
        <f t="shared" si="14"/>
        <v>0</v>
      </c>
      <c r="C71" s="41">
        <f t="shared" si="22"/>
        <v>0</v>
      </c>
      <c r="D71" s="41">
        <f>D69</f>
        <v>0</v>
      </c>
      <c r="E71" s="41">
        <f>IF(AND(S71&lt;ηAC値Z,ηAC値Z&lt;=W71),1,0)</f>
        <v>0</v>
      </c>
      <c r="F71" s="157">
        <f t="shared" si="19"/>
        <v>0</v>
      </c>
      <c r="G71" s="158">
        <f t="shared" si="15"/>
        <v>0</v>
      </c>
      <c r="H71" s="158">
        <f t="shared" si="16"/>
        <v>0</v>
      </c>
      <c r="I71" s="158">
        <f t="shared" si="17"/>
        <v>0</v>
      </c>
      <c r="J71" s="159">
        <f t="shared" si="18"/>
        <v>0</v>
      </c>
      <c r="N71" s="456"/>
      <c r="O71" s="457"/>
      <c r="P71" s="457"/>
      <c r="Q71" s="457"/>
      <c r="R71" s="462"/>
      <c r="S71" s="53">
        <v>2.2000000000000002</v>
      </c>
      <c r="T71" s="7" t="s">
        <v>46</v>
      </c>
      <c r="U71" s="7" t="s">
        <v>47</v>
      </c>
      <c r="V71" s="7" t="s">
        <v>42</v>
      </c>
      <c r="W71" s="52">
        <v>2.7</v>
      </c>
      <c r="X71" s="3">
        <v>15</v>
      </c>
      <c r="Z71" s="53"/>
      <c r="AA71" s="7"/>
      <c r="AB71" s="7"/>
      <c r="AC71" s="7"/>
      <c r="AD71" s="52"/>
      <c r="AE71" s="3">
        <v>16</v>
      </c>
      <c r="AG71" s="53"/>
      <c r="AH71" s="7"/>
      <c r="AI71" s="7"/>
      <c r="AJ71" s="7"/>
      <c r="AK71" s="52"/>
      <c r="AL71" s="3">
        <v>16</v>
      </c>
      <c r="AN71" s="53"/>
      <c r="AO71" s="7"/>
      <c r="AP71" s="7"/>
      <c r="AQ71" s="7"/>
      <c r="AR71" s="52"/>
      <c r="AS71" s="62">
        <v>16</v>
      </c>
      <c r="AU71" s="53"/>
      <c r="AV71" s="7"/>
      <c r="AW71" s="7"/>
      <c r="AX71" s="7"/>
      <c r="AY71" s="52"/>
      <c r="AZ71" s="62">
        <v>0</v>
      </c>
    </row>
    <row r="72" spans="1:52" x14ac:dyDescent="0.4">
      <c r="A72" s="12">
        <f t="shared" si="20"/>
        <v>10</v>
      </c>
      <c r="B72" s="77">
        <f t="shared" si="14"/>
        <v>0</v>
      </c>
      <c r="C72" s="41">
        <f t="shared" si="22"/>
        <v>0</v>
      </c>
      <c r="D72" s="41">
        <f>D69</f>
        <v>0</v>
      </c>
      <c r="E72" s="41">
        <f>IF(AND(S72&lt;ηAC値Z,ηAC値Z&lt;=W72),1,0)</f>
        <v>0</v>
      </c>
      <c r="F72" s="157">
        <f t="shared" si="19"/>
        <v>0</v>
      </c>
      <c r="G72" s="158">
        <f t="shared" si="15"/>
        <v>0</v>
      </c>
      <c r="H72" s="158">
        <f t="shared" si="16"/>
        <v>0</v>
      </c>
      <c r="I72" s="158">
        <f t="shared" si="17"/>
        <v>0</v>
      </c>
      <c r="J72" s="159">
        <f t="shared" si="18"/>
        <v>0</v>
      </c>
      <c r="N72" s="456"/>
      <c r="O72" s="457"/>
      <c r="P72" s="457"/>
      <c r="Q72" s="457"/>
      <c r="R72" s="462"/>
      <c r="S72" s="53">
        <v>2.7</v>
      </c>
      <c r="T72" s="7" t="s">
        <v>46</v>
      </c>
      <c r="U72" s="7" t="s">
        <v>47</v>
      </c>
      <c r="V72" s="7" t="s">
        <v>42</v>
      </c>
      <c r="W72" s="52">
        <v>3.2</v>
      </c>
      <c r="X72" s="3">
        <v>17</v>
      </c>
      <c r="Z72" s="53"/>
      <c r="AA72" s="7"/>
      <c r="AB72" s="7"/>
      <c r="AC72" s="7"/>
      <c r="AD72" s="52"/>
      <c r="AE72" s="3">
        <v>18</v>
      </c>
      <c r="AG72" s="53"/>
      <c r="AH72" s="7"/>
      <c r="AI72" s="7"/>
      <c r="AJ72" s="7"/>
      <c r="AK72" s="52"/>
      <c r="AL72" s="3">
        <v>18</v>
      </c>
      <c r="AN72" s="53"/>
      <c r="AO72" s="7"/>
      <c r="AP72" s="7"/>
      <c r="AQ72" s="7"/>
      <c r="AR72" s="52"/>
      <c r="AS72" s="62">
        <v>18</v>
      </c>
      <c r="AU72" s="53"/>
      <c r="AV72" s="7"/>
      <c r="AW72" s="7"/>
      <c r="AX72" s="7"/>
      <c r="AY72" s="52"/>
      <c r="AZ72" s="62">
        <v>0</v>
      </c>
    </row>
    <row r="73" spans="1:52" x14ac:dyDescent="0.4">
      <c r="A73" s="12">
        <f t="shared" si="20"/>
        <v>11</v>
      </c>
      <c r="B73" s="77">
        <f t="shared" si="14"/>
        <v>0</v>
      </c>
      <c r="C73" s="41">
        <f t="shared" si="22"/>
        <v>0</v>
      </c>
      <c r="D73" s="41">
        <f>D69</f>
        <v>0</v>
      </c>
      <c r="E73" s="41">
        <f>IF(AND(S73&lt;ηAC値Z,ηAC値Z&lt;=W73),1,0)</f>
        <v>0</v>
      </c>
      <c r="F73" s="157">
        <f t="shared" si="19"/>
        <v>0</v>
      </c>
      <c r="G73" s="158">
        <f t="shared" si="15"/>
        <v>0</v>
      </c>
      <c r="H73" s="158">
        <f t="shared" si="16"/>
        <v>0</v>
      </c>
      <c r="I73" s="158">
        <f t="shared" si="17"/>
        <v>0</v>
      </c>
      <c r="J73" s="159">
        <f t="shared" si="18"/>
        <v>0</v>
      </c>
      <c r="N73" s="456"/>
      <c r="O73" s="457"/>
      <c r="P73" s="457"/>
      <c r="Q73" s="457"/>
      <c r="R73" s="462"/>
      <c r="S73" s="53">
        <v>3.2</v>
      </c>
      <c r="T73" s="7" t="s">
        <v>46</v>
      </c>
      <c r="U73" s="7" t="s">
        <v>47</v>
      </c>
      <c r="V73" s="7" t="s">
        <v>42</v>
      </c>
      <c r="W73" s="52">
        <v>3.7</v>
      </c>
      <c r="X73" s="3">
        <v>19</v>
      </c>
      <c r="Z73" s="53"/>
      <c r="AA73" s="7"/>
      <c r="AB73" s="7"/>
      <c r="AC73" s="7"/>
      <c r="AD73" s="52"/>
      <c r="AE73" s="3">
        <v>20</v>
      </c>
      <c r="AG73" s="53"/>
      <c r="AH73" s="7"/>
      <c r="AI73" s="7"/>
      <c r="AJ73" s="7"/>
      <c r="AK73" s="52"/>
      <c r="AL73" s="3">
        <v>20</v>
      </c>
      <c r="AN73" s="53"/>
      <c r="AO73" s="7"/>
      <c r="AP73" s="7"/>
      <c r="AQ73" s="7"/>
      <c r="AR73" s="52"/>
      <c r="AS73" s="62">
        <v>20</v>
      </c>
      <c r="AU73" s="53"/>
      <c r="AV73" s="7"/>
      <c r="AW73" s="7"/>
      <c r="AX73" s="7"/>
      <c r="AY73" s="52"/>
      <c r="AZ73" s="62">
        <v>0</v>
      </c>
    </row>
    <row r="74" spans="1:52" ht="19.5" thickBot="1" x14ac:dyDescent="0.45">
      <c r="A74" s="12">
        <f t="shared" si="20"/>
        <v>12</v>
      </c>
      <c r="B74" s="77">
        <f t="shared" si="14"/>
        <v>0</v>
      </c>
      <c r="C74" s="41">
        <f t="shared" si="22"/>
        <v>0</v>
      </c>
      <c r="D74" s="41">
        <f>D69</f>
        <v>0</v>
      </c>
      <c r="E74" s="41">
        <f>IF(AND(S74&lt;ηAC値Z,ηAC値Z&lt;=W74),1,0)</f>
        <v>0</v>
      </c>
      <c r="F74" s="160">
        <f t="shared" si="19"/>
        <v>0</v>
      </c>
      <c r="G74" s="161">
        <f t="shared" si="15"/>
        <v>0</v>
      </c>
      <c r="H74" s="161">
        <f t="shared" si="16"/>
        <v>0</v>
      </c>
      <c r="I74" s="161">
        <f t="shared" si="17"/>
        <v>0</v>
      </c>
      <c r="J74" s="162">
        <f t="shared" si="18"/>
        <v>0</v>
      </c>
      <c r="N74" s="456"/>
      <c r="O74" s="457"/>
      <c r="P74" s="457"/>
      <c r="Q74" s="457"/>
      <c r="R74" s="462"/>
      <c r="S74" s="63">
        <v>3.7</v>
      </c>
      <c r="T74" s="48" t="s">
        <v>46</v>
      </c>
      <c r="U74" s="48" t="s">
        <v>47</v>
      </c>
      <c r="V74" s="48" t="s">
        <v>42</v>
      </c>
      <c r="W74" s="64">
        <v>4.2</v>
      </c>
      <c r="X74" s="40">
        <v>21</v>
      </c>
      <c r="Z74" s="63"/>
      <c r="AA74" s="48"/>
      <c r="AB74" s="48"/>
      <c r="AC74" s="48"/>
      <c r="AD74" s="64"/>
      <c r="AE74" s="40">
        <v>22</v>
      </c>
      <c r="AG74" s="63"/>
      <c r="AH74" s="48"/>
      <c r="AI74" s="48"/>
      <c r="AJ74" s="48"/>
      <c r="AK74" s="64"/>
      <c r="AL74" s="40">
        <v>22</v>
      </c>
      <c r="AN74" s="63"/>
      <c r="AO74" s="48"/>
      <c r="AP74" s="48"/>
      <c r="AQ74" s="48"/>
      <c r="AR74" s="64"/>
      <c r="AS74" s="73">
        <v>22</v>
      </c>
      <c r="AU74" s="71"/>
      <c r="AV74" s="39"/>
      <c r="AW74" s="39"/>
      <c r="AX74" s="39"/>
      <c r="AY74" s="72"/>
      <c r="AZ74" s="73">
        <v>0</v>
      </c>
    </row>
    <row r="75" spans="1:52" x14ac:dyDescent="0.4">
      <c r="A75" s="12">
        <f t="shared" si="20"/>
        <v>13</v>
      </c>
      <c r="B75" s="77">
        <f t="shared" si="14"/>
        <v>0</v>
      </c>
      <c r="C75" s="41">
        <f t="shared" si="22"/>
        <v>0</v>
      </c>
      <c r="D75" s="40">
        <f>IF(AND(N75&lt;=UA値z,UA値z&lt;R75),1,0)</f>
        <v>0</v>
      </c>
      <c r="E75" s="40">
        <f>IF(ηAC値Z&lt;=W75,1,0)</f>
        <v>0</v>
      </c>
      <c r="F75" s="154">
        <f t="shared" si="19"/>
        <v>0</v>
      </c>
      <c r="G75" s="155">
        <f t="shared" si="15"/>
        <v>0</v>
      </c>
      <c r="H75" s="155">
        <f t="shared" si="16"/>
        <v>0</v>
      </c>
      <c r="I75" s="155">
        <f t="shared" si="17"/>
        <v>0</v>
      </c>
      <c r="J75" s="156">
        <f t="shared" si="18"/>
        <v>0</v>
      </c>
      <c r="N75" s="458">
        <v>0.78</v>
      </c>
      <c r="O75" s="459" t="s">
        <v>42</v>
      </c>
      <c r="P75" s="459" t="s">
        <v>45</v>
      </c>
      <c r="Q75" s="459" t="s">
        <v>46</v>
      </c>
      <c r="R75" s="465">
        <v>0.87</v>
      </c>
      <c r="S75" s="70"/>
      <c r="T75" s="47"/>
      <c r="U75" s="47" t="s">
        <v>47</v>
      </c>
      <c r="V75" s="47" t="s">
        <v>42</v>
      </c>
      <c r="W75" s="58">
        <v>1.7</v>
      </c>
      <c r="X75" s="59">
        <v>10</v>
      </c>
      <c r="Y75" s="60"/>
      <c r="Z75" s="70"/>
      <c r="AA75" s="47"/>
      <c r="AB75" s="47"/>
      <c r="AC75" s="47"/>
      <c r="AD75" s="58"/>
      <c r="AE75" s="59">
        <v>11</v>
      </c>
      <c r="AF75" s="60"/>
      <c r="AG75" s="70"/>
      <c r="AH75" s="47"/>
      <c r="AI75" s="47"/>
      <c r="AJ75" s="47"/>
      <c r="AK75" s="58"/>
      <c r="AL75" s="59">
        <v>11</v>
      </c>
      <c r="AM75" s="60"/>
      <c r="AN75" s="70"/>
      <c r="AO75" s="47"/>
      <c r="AP75" s="47"/>
      <c r="AQ75" s="47"/>
      <c r="AR75" s="58"/>
      <c r="AS75" s="61">
        <v>11</v>
      </c>
      <c r="AU75" s="70"/>
      <c r="AV75" s="47"/>
      <c r="AW75" s="47"/>
      <c r="AX75" s="47"/>
      <c r="AY75" s="58"/>
      <c r="AZ75" s="61">
        <v>0</v>
      </c>
    </row>
    <row r="76" spans="1:52" x14ac:dyDescent="0.4">
      <c r="A76" s="12">
        <f t="shared" si="20"/>
        <v>14</v>
      </c>
      <c r="B76" s="77">
        <f t="shared" si="14"/>
        <v>0</v>
      </c>
      <c r="C76" s="41">
        <f t="shared" si="22"/>
        <v>0</v>
      </c>
      <c r="D76" s="41">
        <f>D75</f>
        <v>0</v>
      </c>
      <c r="E76" s="41">
        <f>IF(AND(S76&lt;ηAC値Z,ηAC値Z&lt;=W76),1,0)</f>
        <v>1</v>
      </c>
      <c r="F76" s="157">
        <f t="shared" si="19"/>
        <v>12</v>
      </c>
      <c r="G76" s="158">
        <f t="shared" si="15"/>
        <v>13</v>
      </c>
      <c r="H76" s="158">
        <f t="shared" si="16"/>
        <v>13</v>
      </c>
      <c r="I76" s="158">
        <f t="shared" si="17"/>
        <v>13</v>
      </c>
      <c r="J76" s="159">
        <f t="shared" si="18"/>
        <v>0</v>
      </c>
      <c r="N76" s="456"/>
      <c r="O76" s="457"/>
      <c r="P76" s="457"/>
      <c r="Q76" s="457"/>
      <c r="R76" s="462"/>
      <c r="S76" s="53">
        <v>1.7</v>
      </c>
      <c r="T76" s="7" t="s">
        <v>46</v>
      </c>
      <c r="U76" s="7" t="s">
        <v>47</v>
      </c>
      <c r="V76" s="7" t="s">
        <v>42</v>
      </c>
      <c r="W76" s="52">
        <v>2.2000000000000002</v>
      </c>
      <c r="X76" s="3">
        <v>12</v>
      </c>
      <c r="Z76" s="53"/>
      <c r="AA76" s="7"/>
      <c r="AB76" s="7"/>
      <c r="AC76" s="7"/>
      <c r="AD76" s="52"/>
      <c r="AE76" s="3">
        <v>13</v>
      </c>
      <c r="AG76" s="53"/>
      <c r="AH76" s="7"/>
      <c r="AI76" s="7"/>
      <c r="AJ76" s="7"/>
      <c r="AK76" s="52"/>
      <c r="AL76" s="3">
        <v>13</v>
      </c>
      <c r="AN76" s="53"/>
      <c r="AO76" s="7"/>
      <c r="AP76" s="7"/>
      <c r="AQ76" s="7"/>
      <c r="AR76" s="52"/>
      <c r="AS76" s="62">
        <v>13</v>
      </c>
      <c r="AU76" s="53"/>
      <c r="AV76" s="7"/>
      <c r="AW76" s="7"/>
      <c r="AX76" s="7"/>
      <c r="AY76" s="52"/>
      <c r="AZ76" s="62">
        <v>0</v>
      </c>
    </row>
    <row r="77" spans="1:52" x14ac:dyDescent="0.4">
      <c r="A77" s="12">
        <f t="shared" si="20"/>
        <v>15</v>
      </c>
      <c r="B77" s="77">
        <f t="shared" si="14"/>
        <v>0</v>
      </c>
      <c r="C77" s="41">
        <f t="shared" si="22"/>
        <v>0</v>
      </c>
      <c r="D77" s="41">
        <f>D75</f>
        <v>0</v>
      </c>
      <c r="E77" s="41">
        <f>IF(AND(S77&lt;ηAC値Z,ηAC値Z&lt;=W77),1,0)</f>
        <v>0</v>
      </c>
      <c r="F77" s="157">
        <f t="shared" si="19"/>
        <v>0</v>
      </c>
      <c r="G77" s="158">
        <f t="shared" si="15"/>
        <v>0</v>
      </c>
      <c r="H77" s="158">
        <f t="shared" si="16"/>
        <v>0</v>
      </c>
      <c r="I77" s="158">
        <f t="shared" si="17"/>
        <v>0</v>
      </c>
      <c r="J77" s="159">
        <f t="shared" si="18"/>
        <v>0</v>
      </c>
      <c r="N77" s="456"/>
      <c r="O77" s="457"/>
      <c r="P77" s="457"/>
      <c r="Q77" s="457"/>
      <c r="R77" s="462"/>
      <c r="S77" s="53">
        <v>2.2000000000000002</v>
      </c>
      <c r="T77" s="7" t="s">
        <v>46</v>
      </c>
      <c r="U77" s="7" t="s">
        <v>47</v>
      </c>
      <c r="V77" s="7" t="s">
        <v>42</v>
      </c>
      <c r="W77" s="52">
        <v>2.7</v>
      </c>
      <c r="X77" s="3">
        <v>14</v>
      </c>
      <c r="Z77" s="53"/>
      <c r="AA77" s="7"/>
      <c r="AB77" s="7"/>
      <c r="AC77" s="7"/>
      <c r="AD77" s="52"/>
      <c r="AE77" s="3">
        <v>15</v>
      </c>
      <c r="AG77" s="53"/>
      <c r="AH77" s="7"/>
      <c r="AI77" s="7"/>
      <c r="AJ77" s="7"/>
      <c r="AK77" s="52"/>
      <c r="AL77" s="3">
        <v>15</v>
      </c>
      <c r="AN77" s="53"/>
      <c r="AO77" s="7"/>
      <c r="AP77" s="7"/>
      <c r="AQ77" s="7"/>
      <c r="AR77" s="52"/>
      <c r="AS77" s="62">
        <v>15</v>
      </c>
      <c r="AU77" s="53"/>
      <c r="AV77" s="7"/>
      <c r="AW77" s="7"/>
      <c r="AX77" s="7"/>
      <c r="AY77" s="52"/>
      <c r="AZ77" s="62">
        <v>0</v>
      </c>
    </row>
    <row r="78" spans="1:52" x14ac:dyDescent="0.4">
      <c r="A78" s="12">
        <f t="shared" si="20"/>
        <v>16</v>
      </c>
      <c r="B78" s="77">
        <f t="shared" si="14"/>
        <v>0</v>
      </c>
      <c r="C78" s="41">
        <f t="shared" si="22"/>
        <v>0</v>
      </c>
      <c r="D78" s="41">
        <f>D75</f>
        <v>0</v>
      </c>
      <c r="E78" s="41">
        <f>IF(AND(S78&lt;ηAC値Z,ηAC値Z&lt;=W78),1,0)</f>
        <v>0</v>
      </c>
      <c r="F78" s="157">
        <f t="shared" si="19"/>
        <v>0</v>
      </c>
      <c r="G78" s="158">
        <f t="shared" si="15"/>
        <v>0</v>
      </c>
      <c r="H78" s="158">
        <f t="shared" si="16"/>
        <v>0</v>
      </c>
      <c r="I78" s="158">
        <f t="shared" si="17"/>
        <v>0</v>
      </c>
      <c r="J78" s="159">
        <f t="shared" si="18"/>
        <v>0</v>
      </c>
      <c r="N78" s="456"/>
      <c r="O78" s="457"/>
      <c r="P78" s="457"/>
      <c r="Q78" s="457"/>
      <c r="R78" s="462"/>
      <c r="S78" s="53">
        <v>2.7</v>
      </c>
      <c r="T78" s="7" t="s">
        <v>46</v>
      </c>
      <c r="U78" s="7" t="s">
        <v>47</v>
      </c>
      <c r="V78" s="7" t="s">
        <v>42</v>
      </c>
      <c r="W78" s="52">
        <v>3.2</v>
      </c>
      <c r="X78" s="3">
        <v>16</v>
      </c>
      <c r="Z78" s="53"/>
      <c r="AA78" s="7"/>
      <c r="AB78" s="7"/>
      <c r="AC78" s="7"/>
      <c r="AD78" s="52"/>
      <c r="AE78" s="3">
        <v>17</v>
      </c>
      <c r="AG78" s="53"/>
      <c r="AH78" s="7"/>
      <c r="AI78" s="7"/>
      <c r="AJ78" s="7"/>
      <c r="AK78" s="52"/>
      <c r="AL78" s="3">
        <v>17</v>
      </c>
      <c r="AN78" s="53"/>
      <c r="AO78" s="7"/>
      <c r="AP78" s="7"/>
      <c r="AQ78" s="7"/>
      <c r="AR78" s="52"/>
      <c r="AS78" s="62">
        <v>17</v>
      </c>
      <c r="AU78" s="53"/>
      <c r="AV78" s="7"/>
      <c r="AW78" s="7"/>
      <c r="AX78" s="7"/>
      <c r="AY78" s="52"/>
      <c r="AZ78" s="62">
        <v>0</v>
      </c>
    </row>
    <row r="79" spans="1:52" x14ac:dyDescent="0.4">
      <c r="A79" s="12">
        <f t="shared" si="20"/>
        <v>17</v>
      </c>
      <c r="B79" s="77">
        <f t="shared" si="14"/>
        <v>0</v>
      </c>
      <c r="C79" s="41">
        <f t="shared" si="22"/>
        <v>0</v>
      </c>
      <c r="D79" s="41">
        <f>D75</f>
        <v>0</v>
      </c>
      <c r="E79" s="41">
        <f>IF(AND(S79&lt;ηAC値Z,ηAC値Z&lt;=W79),1,0)</f>
        <v>0</v>
      </c>
      <c r="F79" s="157">
        <f t="shared" si="19"/>
        <v>0</v>
      </c>
      <c r="G79" s="158">
        <f t="shared" si="15"/>
        <v>0</v>
      </c>
      <c r="H79" s="158">
        <f t="shared" si="16"/>
        <v>0</v>
      </c>
      <c r="I79" s="158">
        <f t="shared" si="17"/>
        <v>0</v>
      </c>
      <c r="J79" s="159">
        <f t="shared" si="18"/>
        <v>0</v>
      </c>
      <c r="N79" s="456"/>
      <c r="O79" s="457"/>
      <c r="P79" s="457"/>
      <c r="Q79" s="457"/>
      <c r="R79" s="462"/>
      <c r="S79" s="53">
        <v>3.2</v>
      </c>
      <c r="T79" s="7" t="s">
        <v>46</v>
      </c>
      <c r="U79" s="7" t="s">
        <v>47</v>
      </c>
      <c r="V79" s="7" t="s">
        <v>42</v>
      </c>
      <c r="W79" s="52">
        <v>3.7</v>
      </c>
      <c r="X79" s="3">
        <v>18</v>
      </c>
      <c r="Z79" s="53"/>
      <c r="AA79" s="7"/>
      <c r="AB79" s="7"/>
      <c r="AC79" s="7"/>
      <c r="AD79" s="52"/>
      <c r="AE79" s="3">
        <v>19</v>
      </c>
      <c r="AG79" s="53"/>
      <c r="AH79" s="7"/>
      <c r="AI79" s="7"/>
      <c r="AJ79" s="7"/>
      <c r="AK79" s="52"/>
      <c r="AL79" s="3">
        <v>19</v>
      </c>
      <c r="AN79" s="53"/>
      <c r="AO79" s="7"/>
      <c r="AP79" s="7"/>
      <c r="AQ79" s="7"/>
      <c r="AR79" s="52"/>
      <c r="AS79" s="62">
        <v>19</v>
      </c>
      <c r="AU79" s="53"/>
      <c r="AV79" s="7"/>
      <c r="AW79" s="7"/>
      <c r="AX79" s="7"/>
      <c r="AY79" s="52"/>
      <c r="AZ79" s="62">
        <v>0</v>
      </c>
    </row>
    <row r="80" spans="1:52" ht="19.5" thickBot="1" x14ac:dyDescent="0.45">
      <c r="A80" s="12">
        <f t="shared" si="20"/>
        <v>18</v>
      </c>
      <c r="B80" s="77">
        <f t="shared" si="14"/>
        <v>0</v>
      </c>
      <c r="C80" s="41">
        <f t="shared" si="22"/>
        <v>0</v>
      </c>
      <c r="D80" s="42">
        <f>D75</f>
        <v>0</v>
      </c>
      <c r="E80" s="41">
        <f>IF(AND(S80&lt;ηAC値Z,ηAC値Z&lt;=W80),1,0)</f>
        <v>0</v>
      </c>
      <c r="F80" s="160">
        <f t="shared" ref="F80:F98" si="23">IF(E80=1,X80,0)</f>
        <v>0</v>
      </c>
      <c r="G80" s="161">
        <f t="shared" si="15"/>
        <v>0</v>
      </c>
      <c r="H80" s="161">
        <f t="shared" si="16"/>
        <v>0</v>
      </c>
      <c r="I80" s="161">
        <f t="shared" si="17"/>
        <v>0</v>
      </c>
      <c r="J80" s="162">
        <f t="shared" si="18"/>
        <v>0</v>
      </c>
      <c r="N80" s="463"/>
      <c r="O80" s="464"/>
      <c r="P80" s="464"/>
      <c r="Q80" s="464"/>
      <c r="R80" s="466"/>
      <c r="S80" s="63">
        <v>3.7</v>
      </c>
      <c r="T80" s="48" t="s">
        <v>46</v>
      </c>
      <c r="U80" s="48" t="s">
        <v>47</v>
      </c>
      <c r="V80" s="48" t="s">
        <v>42</v>
      </c>
      <c r="W80" s="64">
        <v>4.2</v>
      </c>
      <c r="X80" s="65">
        <v>20</v>
      </c>
      <c r="Y80" s="46"/>
      <c r="Z80" s="63"/>
      <c r="AA80" s="48"/>
      <c r="AB80" s="48"/>
      <c r="AC80" s="48"/>
      <c r="AD80" s="64"/>
      <c r="AE80" s="65">
        <v>21</v>
      </c>
      <c r="AF80" s="46"/>
      <c r="AG80" s="63"/>
      <c r="AH80" s="48"/>
      <c r="AI80" s="48"/>
      <c r="AJ80" s="48"/>
      <c r="AK80" s="64"/>
      <c r="AL80" s="65">
        <v>21</v>
      </c>
      <c r="AM80" s="46"/>
      <c r="AN80" s="63"/>
      <c r="AO80" s="48"/>
      <c r="AP80" s="48"/>
      <c r="AQ80" s="48"/>
      <c r="AR80" s="64"/>
      <c r="AS80" s="66">
        <v>21</v>
      </c>
      <c r="AU80" s="63"/>
      <c r="AV80" s="48"/>
      <c r="AW80" s="48"/>
      <c r="AX80" s="48"/>
      <c r="AY80" s="64"/>
      <c r="AZ80" s="66">
        <v>0</v>
      </c>
    </row>
    <row r="81" spans="1:52" x14ac:dyDescent="0.4">
      <c r="A81" s="12">
        <f t="shared" si="20"/>
        <v>19</v>
      </c>
      <c r="B81" s="77">
        <f t="shared" si="14"/>
        <v>0</v>
      </c>
      <c r="C81" s="41">
        <f t="shared" si="22"/>
        <v>0</v>
      </c>
      <c r="D81" s="40">
        <f>IF(AND(N81&lt;=UA値z,UA値z&lt;R81),1,0)</f>
        <v>0</v>
      </c>
      <c r="E81" s="40">
        <f>IF(ηAC値Z&lt;=W81,1,0)</f>
        <v>0</v>
      </c>
      <c r="F81" s="157">
        <f t="shared" si="23"/>
        <v>0</v>
      </c>
      <c r="G81" s="158">
        <f t="shared" si="15"/>
        <v>0</v>
      </c>
      <c r="H81" s="158">
        <f t="shared" si="16"/>
        <v>0</v>
      </c>
      <c r="I81" s="158">
        <f t="shared" si="17"/>
        <v>0</v>
      </c>
      <c r="J81" s="159">
        <f t="shared" si="18"/>
        <v>0</v>
      </c>
      <c r="N81" s="456">
        <v>0.87</v>
      </c>
      <c r="O81" s="457" t="s">
        <v>42</v>
      </c>
      <c r="P81" s="457" t="s">
        <v>45</v>
      </c>
      <c r="Q81" s="457" t="s">
        <v>46</v>
      </c>
      <c r="R81" s="462">
        <v>1.19</v>
      </c>
      <c r="S81" s="70"/>
      <c r="T81" s="47"/>
      <c r="U81" s="47" t="s">
        <v>47</v>
      </c>
      <c r="V81" s="47" t="s">
        <v>42</v>
      </c>
      <c r="W81" s="58">
        <v>1.7</v>
      </c>
      <c r="X81" s="42">
        <v>10</v>
      </c>
      <c r="Z81" s="70"/>
      <c r="AA81" s="47"/>
      <c r="AB81" s="47"/>
      <c r="AC81" s="47"/>
      <c r="AD81" s="58"/>
      <c r="AE81" s="42">
        <v>10</v>
      </c>
      <c r="AG81" s="70"/>
      <c r="AH81" s="47"/>
      <c r="AI81" s="47"/>
      <c r="AJ81" s="47"/>
      <c r="AK81" s="58"/>
      <c r="AL81" s="42">
        <v>10</v>
      </c>
      <c r="AN81" s="70"/>
      <c r="AO81" s="47"/>
      <c r="AP81" s="47"/>
      <c r="AQ81" s="47"/>
      <c r="AR81" s="58"/>
      <c r="AS81" s="74">
        <v>10</v>
      </c>
      <c r="AU81" s="13"/>
      <c r="AV81" s="2"/>
      <c r="AW81" s="2"/>
      <c r="AX81" s="2"/>
      <c r="AY81" s="54"/>
      <c r="AZ81" s="74">
        <v>0</v>
      </c>
    </row>
    <row r="82" spans="1:52" x14ac:dyDescent="0.4">
      <c r="A82" s="12">
        <f t="shared" si="20"/>
        <v>20</v>
      </c>
      <c r="B82" s="77">
        <f t="shared" si="14"/>
        <v>0</v>
      </c>
      <c r="C82" s="41">
        <f t="shared" si="22"/>
        <v>0</v>
      </c>
      <c r="D82" s="41">
        <f>D81</f>
        <v>0</v>
      </c>
      <c r="E82" s="41">
        <f>IF(AND(S82&lt;ηAC値Z,ηAC値Z&lt;=W82),1,0)</f>
        <v>1</v>
      </c>
      <c r="F82" s="157">
        <f t="shared" si="23"/>
        <v>12</v>
      </c>
      <c r="G82" s="158">
        <f t="shared" si="15"/>
        <v>13</v>
      </c>
      <c r="H82" s="158">
        <f t="shared" si="16"/>
        <v>13</v>
      </c>
      <c r="I82" s="158">
        <f t="shared" si="17"/>
        <v>13</v>
      </c>
      <c r="J82" s="159">
        <f t="shared" si="18"/>
        <v>0</v>
      </c>
      <c r="N82" s="456"/>
      <c r="O82" s="457"/>
      <c r="P82" s="457"/>
      <c r="Q82" s="457"/>
      <c r="R82" s="462"/>
      <c r="S82" s="53">
        <v>1.7</v>
      </c>
      <c r="T82" s="7" t="s">
        <v>46</v>
      </c>
      <c r="U82" s="7" t="s">
        <v>47</v>
      </c>
      <c r="V82" s="7" t="s">
        <v>42</v>
      </c>
      <c r="W82" s="52">
        <v>2.2000000000000002</v>
      </c>
      <c r="X82" s="3">
        <v>12</v>
      </c>
      <c r="Z82" s="53"/>
      <c r="AA82" s="7"/>
      <c r="AB82" s="7"/>
      <c r="AC82" s="7"/>
      <c r="AD82" s="52"/>
      <c r="AE82" s="3">
        <v>13</v>
      </c>
      <c r="AG82" s="53"/>
      <c r="AH82" s="7"/>
      <c r="AI82" s="7"/>
      <c r="AJ82" s="7"/>
      <c r="AK82" s="52"/>
      <c r="AL82" s="3">
        <v>13</v>
      </c>
      <c r="AN82" s="53"/>
      <c r="AO82" s="7"/>
      <c r="AP82" s="7"/>
      <c r="AQ82" s="7"/>
      <c r="AR82" s="52"/>
      <c r="AS82" s="62">
        <v>13</v>
      </c>
      <c r="AU82" s="53"/>
      <c r="AV82" s="7"/>
      <c r="AW82" s="7"/>
      <c r="AX82" s="7"/>
      <c r="AY82" s="52"/>
      <c r="AZ82" s="62">
        <v>0</v>
      </c>
    </row>
    <row r="83" spans="1:52" x14ac:dyDescent="0.4">
      <c r="A83" s="12">
        <f t="shared" si="20"/>
        <v>21</v>
      </c>
      <c r="B83" s="77">
        <f t="shared" si="14"/>
        <v>0</v>
      </c>
      <c r="C83" s="41">
        <f t="shared" si="22"/>
        <v>0</v>
      </c>
      <c r="D83" s="41">
        <f>D81</f>
        <v>0</v>
      </c>
      <c r="E83" s="41">
        <f>IF(AND(S83&lt;ηAC値Z,ηAC値Z&lt;=W83),1,0)</f>
        <v>0</v>
      </c>
      <c r="F83" s="157">
        <f t="shared" si="23"/>
        <v>0</v>
      </c>
      <c r="G83" s="158">
        <f t="shared" si="15"/>
        <v>0</v>
      </c>
      <c r="H83" s="158">
        <f t="shared" si="16"/>
        <v>0</v>
      </c>
      <c r="I83" s="158">
        <f t="shared" si="17"/>
        <v>0</v>
      </c>
      <c r="J83" s="159">
        <f t="shared" si="18"/>
        <v>0</v>
      </c>
      <c r="N83" s="456"/>
      <c r="O83" s="457"/>
      <c r="P83" s="457"/>
      <c r="Q83" s="457"/>
      <c r="R83" s="462"/>
      <c r="S83" s="53">
        <v>2.2000000000000002</v>
      </c>
      <c r="T83" s="7" t="s">
        <v>46</v>
      </c>
      <c r="U83" s="7" t="s">
        <v>47</v>
      </c>
      <c r="V83" s="7" t="s">
        <v>42</v>
      </c>
      <c r="W83" s="52">
        <v>2.7</v>
      </c>
      <c r="X83" s="3">
        <v>13</v>
      </c>
      <c r="Z83" s="53"/>
      <c r="AA83" s="7"/>
      <c r="AB83" s="7"/>
      <c r="AC83" s="7"/>
      <c r="AD83" s="52"/>
      <c r="AE83" s="3">
        <v>14</v>
      </c>
      <c r="AG83" s="53"/>
      <c r="AH83" s="7"/>
      <c r="AI83" s="7"/>
      <c r="AJ83" s="7"/>
      <c r="AK83" s="52"/>
      <c r="AL83" s="3">
        <v>14</v>
      </c>
      <c r="AN83" s="53"/>
      <c r="AO83" s="7"/>
      <c r="AP83" s="7"/>
      <c r="AQ83" s="7"/>
      <c r="AR83" s="52"/>
      <c r="AS83" s="62">
        <v>14</v>
      </c>
      <c r="AU83" s="53"/>
      <c r="AV83" s="7"/>
      <c r="AW83" s="7"/>
      <c r="AX83" s="7"/>
      <c r="AY83" s="52"/>
      <c r="AZ83" s="62">
        <v>0</v>
      </c>
    </row>
    <row r="84" spans="1:52" x14ac:dyDescent="0.4">
      <c r="A84" s="12">
        <f t="shared" si="20"/>
        <v>22</v>
      </c>
      <c r="B84" s="77">
        <f t="shared" si="14"/>
        <v>0</v>
      </c>
      <c r="C84" s="41">
        <f t="shared" si="21"/>
        <v>0</v>
      </c>
      <c r="D84" s="41">
        <f>D81</f>
        <v>0</v>
      </c>
      <c r="E84" s="41">
        <f>IF(AND(S84&lt;ηAC値Z,ηAC値Z&lt;=W84),1,0)</f>
        <v>0</v>
      </c>
      <c r="F84" s="157">
        <f t="shared" si="23"/>
        <v>0</v>
      </c>
      <c r="G84" s="158">
        <f t="shared" si="15"/>
        <v>0</v>
      </c>
      <c r="H84" s="158">
        <f t="shared" si="16"/>
        <v>0</v>
      </c>
      <c r="I84" s="158">
        <f t="shared" si="17"/>
        <v>0</v>
      </c>
      <c r="J84" s="159">
        <f t="shared" si="18"/>
        <v>0</v>
      </c>
      <c r="N84" s="456"/>
      <c r="O84" s="457"/>
      <c r="P84" s="457"/>
      <c r="Q84" s="457"/>
      <c r="R84" s="462"/>
      <c r="S84" s="53">
        <v>2.7</v>
      </c>
      <c r="T84" s="7" t="s">
        <v>46</v>
      </c>
      <c r="U84" s="7" t="s">
        <v>47</v>
      </c>
      <c r="V84" s="7" t="s">
        <v>42</v>
      </c>
      <c r="W84" s="52">
        <v>3.2</v>
      </c>
      <c r="X84" s="3">
        <v>15</v>
      </c>
      <c r="Z84" s="53"/>
      <c r="AA84" s="7"/>
      <c r="AB84" s="7"/>
      <c r="AC84" s="7"/>
      <c r="AD84" s="52"/>
      <c r="AE84" s="3">
        <v>16</v>
      </c>
      <c r="AG84" s="53"/>
      <c r="AH84" s="7"/>
      <c r="AI84" s="7"/>
      <c r="AJ84" s="7"/>
      <c r="AK84" s="52"/>
      <c r="AL84" s="3">
        <v>16</v>
      </c>
      <c r="AN84" s="53"/>
      <c r="AO84" s="7"/>
      <c r="AP84" s="7"/>
      <c r="AQ84" s="7"/>
      <c r="AR84" s="52"/>
      <c r="AS84" s="62">
        <v>16</v>
      </c>
      <c r="AU84" s="53"/>
      <c r="AV84" s="7"/>
      <c r="AW84" s="7"/>
      <c r="AX84" s="7"/>
      <c r="AY84" s="52"/>
      <c r="AZ84" s="62">
        <v>0</v>
      </c>
    </row>
    <row r="85" spans="1:52" x14ac:dyDescent="0.4">
      <c r="A85" s="12">
        <f t="shared" si="20"/>
        <v>23</v>
      </c>
      <c r="B85" s="77">
        <f t="shared" si="14"/>
        <v>0</v>
      </c>
      <c r="C85" s="41">
        <f>IF(AND(D85=1,E85=1),1,0)</f>
        <v>0</v>
      </c>
      <c r="D85" s="41">
        <f>D81</f>
        <v>0</v>
      </c>
      <c r="E85" s="41">
        <f>IF(AND(S85&lt;ηAC値Z,ηAC値Z&lt;=W85),1,0)</f>
        <v>0</v>
      </c>
      <c r="F85" s="157">
        <f t="shared" si="23"/>
        <v>0</v>
      </c>
      <c r="G85" s="158">
        <f t="shared" si="15"/>
        <v>0</v>
      </c>
      <c r="H85" s="158">
        <f t="shared" si="16"/>
        <v>0</v>
      </c>
      <c r="I85" s="158">
        <f t="shared" si="17"/>
        <v>0</v>
      </c>
      <c r="J85" s="159">
        <f t="shared" si="18"/>
        <v>0</v>
      </c>
      <c r="N85" s="456"/>
      <c r="O85" s="457"/>
      <c r="P85" s="457"/>
      <c r="Q85" s="457"/>
      <c r="R85" s="462"/>
      <c r="S85" s="53">
        <v>3.2</v>
      </c>
      <c r="T85" s="7" t="s">
        <v>46</v>
      </c>
      <c r="U85" s="7" t="s">
        <v>47</v>
      </c>
      <c r="V85" s="7" t="s">
        <v>42</v>
      </c>
      <c r="W85" s="52">
        <v>3.7</v>
      </c>
      <c r="X85" s="3">
        <v>17</v>
      </c>
      <c r="Z85" s="53"/>
      <c r="AA85" s="7"/>
      <c r="AB85" s="7"/>
      <c r="AC85" s="7"/>
      <c r="AD85" s="52"/>
      <c r="AE85" s="3">
        <v>18</v>
      </c>
      <c r="AG85" s="53"/>
      <c r="AH85" s="7"/>
      <c r="AI85" s="7"/>
      <c r="AJ85" s="7"/>
      <c r="AK85" s="52"/>
      <c r="AL85" s="3">
        <v>18</v>
      </c>
      <c r="AN85" s="53"/>
      <c r="AO85" s="7"/>
      <c r="AP85" s="7"/>
      <c r="AQ85" s="7"/>
      <c r="AR85" s="52"/>
      <c r="AS85" s="62">
        <v>18</v>
      </c>
      <c r="AU85" s="53"/>
      <c r="AV85" s="7"/>
      <c r="AW85" s="7"/>
      <c r="AX85" s="7"/>
      <c r="AY85" s="52"/>
      <c r="AZ85" s="62">
        <v>0</v>
      </c>
    </row>
    <row r="86" spans="1:52" ht="19.5" thickBot="1" x14ac:dyDescent="0.45">
      <c r="A86" s="12">
        <f t="shared" si="20"/>
        <v>24</v>
      </c>
      <c r="B86" s="77">
        <f t="shared" si="14"/>
        <v>0</v>
      </c>
      <c r="C86" s="41">
        <f>IF(AND(D86=1,E86=1),1,0)</f>
        <v>0</v>
      </c>
      <c r="D86" s="41">
        <f>D81</f>
        <v>0</v>
      </c>
      <c r="E86" s="41">
        <f>IF(AND(S86&lt;ηAC値Z,ηAC値Z&lt;=W86),1,0)</f>
        <v>0</v>
      </c>
      <c r="F86" s="157">
        <f t="shared" si="23"/>
        <v>0</v>
      </c>
      <c r="G86" s="158">
        <f t="shared" si="15"/>
        <v>0</v>
      </c>
      <c r="H86" s="158">
        <f t="shared" si="16"/>
        <v>0</v>
      </c>
      <c r="I86" s="158">
        <f t="shared" si="17"/>
        <v>0</v>
      </c>
      <c r="J86" s="159">
        <f t="shared" si="18"/>
        <v>0</v>
      </c>
      <c r="N86" s="456"/>
      <c r="O86" s="457"/>
      <c r="P86" s="457"/>
      <c r="Q86" s="457"/>
      <c r="R86" s="462"/>
      <c r="S86" s="63">
        <v>3.7</v>
      </c>
      <c r="T86" s="48" t="s">
        <v>46</v>
      </c>
      <c r="U86" s="48" t="s">
        <v>47</v>
      </c>
      <c r="V86" s="48" t="s">
        <v>42</v>
      </c>
      <c r="W86" s="64">
        <v>4.2</v>
      </c>
      <c r="X86" s="40">
        <v>19</v>
      </c>
      <c r="Z86" s="63"/>
      <c r="AA86" s="48"/>
      <c r="AB86" s="48"/>
      <c r="AC86" s="48"/>
      <c r="AD86" s="64"/>
      <c r="AE86" s="40">
        <v>20</v>
      </c>
      <c r="AG86" s="63"/>
      <c r="AH86" s="48"/>
      <c r="AI86" s="48"/>
      <c r="AJ86" s="48"/>
      <c r="AK86" s="64"/>
      <c r="AL86" s="40">
        <v>20</v>
      </c>
      <c r="AN86" s="63"/>
      <c r="AO86" s="48"/>
      <c r="AP86" s="48"/>
      <c r="AQ86" s="48"/>
      <c r="AR86" s="64"/>
      <c r="AS86" s="73">
        <v>20</v>
      </c>
      <c r="AU86" s="71"/>
      <c r="AV86" s="39"/>
      <c r="AW86" s="39"/>
      <c r="AX86" s="39"/>
      <c r="AY86" s="72"/>
      <c r="AZ86" s="73">
        <v>0</v>
      </c>
    </row>
    <row r="87" spans="1:52" x14ac:dyDescent="0.4">
      <c r="A87" s="12">
        <f t="shared" si="20"/>
        <v>25</v>
      </c>
      <c r="B87" s="77">
        <f t="shared" si="14"/>
        <v>0</v>
      </c>
      <c r="C87" s="41">
        <f>IF(AND(D87=1,E87=1),1,0)</f>
        <v>0</v>
      </c>
      <c r="D87" s="40">
        <f>IF(AND(N87&lt;=UA値z,UA値z&lt;R87),1,0)</f>
        <v>0</v>
      </c>
      <c r="E87" s="40">
        <f>IF(ηAC値Z&lt;=W87,1,0)</f>
        <v>0</v>
      </c>
      <c r="F87" s="154">
        <f t="shared" si="23"/>
        <v>0</v>
      </c>
      <c r="G87" s="155">
        <f t="shared" si="15"/>
        <v>0</v>
      </c>
      <c r="H87" s="155">
        <f t="shared" si="16"/>
        <v>0</v>
      </c>
      <c r="I87" s="155">
        <f t="shared" si="17"/>
        <v>0</v>
      </c>
      <c r="J87" s="156">
        <f t="shared" si="18"/>
        <v>0</v>
      </c>
      <c r="N87" s="458">
        <v>1.19</v>
      </c>
      <c r="O87" s="459" t="s">
        <v>42</v>
      </c>
      <c r="P87" s="459" t="s">
        <v>45</v>
      </c>
      <c r="Q87" s="459" t="s">
        <v>46</v>
      </c>
      <c r="R87" s="465">
        <v>1.5</v>
      </c>
      <c r="S87" s="70"/>
      <c r="T87" s="47"/>
      <c r="U87" s="47" t="s">
        <v>47</v>
      </c>
      <c r="V87" s="47" t="s">
        <v>42</v>
      </c>
      <c r="W87" s="58">
        <v>1.7</v>
      </c>
      <c r="X87" s="59">
        <v>8</v>
      </c>
      <c r="Y87" s="60"/>
      <c r="Z87" s="70"/>
      <c r="AA87" s="47"/>
      <c r="AB87" s="47"/>
      <c r="AC87" s="47"/>
      <c r="AD87" s="58"/>
      <c r="AE87" s="59">
        <v>9</v>
      </c>
      <c r="AF87" s="60"/>
      <c r="AG87" s="70"/>
      <c r="AH87" s="47"/>
      <c r="AI87" s="47"/>
      <c r="AJ87" s="47"/>
      <c r="AK87" s="58"/>
      <c r="AL87" s="59">
        <v>9</v>
      </c>
      <c r="AM87" s="60"/>
      <c r="AN87" s="70"/>
      <c r="AO87" s="47"/>
      <c r="AP87" s="47"/>
      <c r="AQ87" s="47"/>
      <c r="AR87" s="58"/>
      <c r="AS87" s="61">
        <v>9</v>
      </c>
      <c r="AU87" s="70"/>
      <c r="AV87" s="47"/>
      <c r="AW87" s="47"/>
      <c r="AX87" s="47"/>
      <c r="AY87" s="58"/>
      <c r="AZ87" s="61">
        <v>0</v>
      </c>
    </row>
    <row r="88" spans="1:52" x14ac:dyDescent="0.4">
      <c r="A88" s="12">
        <f t="shared" si="20"/>
        <v>26</v>
      </c>
      <c r="B88" s="77">
        <f t="shared" si="14"/>
        <v>0</v>
      </c>
      <c r="C88" s="41">
        <f t="shared" si="21"/>
        <v>0</v>
      </c>
      <c r="D88" s="41">
        <f>D87</f>
        <v>0</v>
      </c>
      <c r="E88" s="41">
        <f>IF(AND(S88&lt;ηAC値Z,ηAC値Z&lt;=W88),1,0)</f>
        <v>1</v>
      </c>
      <c r="F88" s="157">
        <f t="shared" si="23"/>
        <v>10</v>
      </c>
      <c r="G88" s="158">
        <f t="shared" si="15"/>
        <v>10</v>
      </c>
      <c r="H88" s="158">
        <f t="shared" si="16"/>
        <v>10</v>
      </c>
      <c r="I88" s="158">
        <f t="shared" si="17"/>
        <v>10</v>
      </c>
      <c r="J88" s="159">
        <f t="shared" si="18"/>
        <v>0</v>
      </c>
      <c r="N88" s="456"/>
      <c r="O88" s="457"/>
      <c r="P88" s="457"/>
      <c r="Q88" s="457"/>
      <c r="R88" s="462"/>
      <c r="S88" s="53">
        <v>1.7</v>
      </c>
      <c r="T88" s="7" t="s">
        <v>46</v>
      </c>
      <c r="U88" s="7" t="s">
        <v>47</v>
      </c>
      <c r="V88" s="7" t="s">
        <v>42</v>
      </c>
      <c r="W88" s="52">
        <v>2.2000000000000002</v>
      </c>
      <c r="X88" s="3">
        <v>10</v>
      </c>
      <c r="Z88" s="53"/>
      <c r="AA88" s="7"/>
      <c r="AB88" s="7"/>
      <c r="AC88" s="7"/>
      <c r="AD88" s="52"/>
      <c r="AE88" s="3">
        <v>10</v>
      </c>
      <c r="AG88" s="53"/>
      <c r="AH88" s="7"/>
      <c r="AI88" s="7"/>
      <c r="AJ88" s="7"/>
      <c r="AK88" s="52"/>
      <c r="AL88" s="3">
        <v>10</v>
      </c>
      <c r="AN88" s="53"/>
      <c r="AO88" s="7"/>
      <c r="AP88" s="7"/>
      <c r="AQ88" s="7"/>
      <c r="AR88" s="52"/>
      <c r="AS88" s="62">
        <v>10</v>
      </c>
      <c r="AU88" s="53"/>
      <c r="AV88" s="7"/>
      <c r="AW88" s="7"/>
      <c r="AX88" s="7"/>
      <c r="AY88" s="52"/>
      <c r="AZ88" s="62">
        <v>0</v>
      </c>
    </row>
    <row r="89" spans="1:52" x14ac:dyDescent="0.4">
      <c r="A89" s="12">
        <f t="shared" si="20"/>
        <v>27</v>
      </c>
      <c r="B89" s="77">
        <f t="shared" si="14"/>
        <v>0</v>
      </c>
      <c r="C89" s="41">
        <f t="shared" ref="C89:C98" si="24">IF(AND(D89=1,E89=1),1,0)</f>
        <v>0</v>
      </c>
      <c r="D89" s="41">
        <f>D87</f>
        <v>0</v>
      </c>
      <c r="E89" s="41">
        <f>IF(AND(S89&lt;ηAC値Z,ηAC値Z&lt;=W89),1,0)</f>
        <v>0</v>
      </c>
      <c r="F89" s="157">
        <f t="shared" si="23"/>
        <v>0</v>
      </c>
      <c r="G89" s="158">
        <f t="shared" si="15"/>
        <v>0</v>
      </c>
      <c r="H89" s="158">
        <f t="shared" si="16"/>
        <v>0</v>
      </c>
      <c r="I89" s="158">
        <f t="shared" si="17"/>
        <v>0</v>
      </c>
      <c r="J89" s="159">
        <f t="shared" si="18"/>
        <v>0</v>
      </c>
      <c r="N89" s="456"/>
      <c r="O89" s="457"/>
      <c r="P89" s="457"/>
      <c r="Q89" s="457"/>
      <c r="R89" s="462"/>
      <c r="S89" s="53">
        <v>2.2000000000000002</v>
      </c>
      <c r="T89" s="7" t="s">
        <v>46</v>
      </c>
      <c r="U89" s="7" t="s">
        <v>47</v>
      </c>
      <c r="V89" s="7" t="s">
        <v>42</v>
      </c>
      <c r="W89" s="52">
        <v>2.7</v>
      </c>
      <c r="X89" s="3">
        <v>11</v>
      </c>
      <c r="Z89" s="53"/>
      <c r="AA89" s="7"/>
      <c r="AB89" s="7"/>
      <c r="AC89" s="7"/>
      <c r="AD89" s="52"/>
      <c r="AE89" s="3">
        <v>12</v>
      </c>
      <c r="AG89" s="53"/>
      <c r="AH89" s="7"/>
      <c r="AI89" s="7"/>
      <c r="AJ89" s="7"/>
      <c r="AK89" s="52"/>
      <c r="AL89" s="3">
        <v>12</v>
      </c>
      <c r="AN89" s="53"/>
      <c r="AO89" s="7"/>
      <c r="AP89" s="7"/>
      <c r="AQ89" s="7"/>
      <c r="AR89" s="52"/>
      <c r="AS89" s="62">
        <v>12</v>
      </c>
      <c r="AU89" s="53"/>
      <c r="AV89" s="7"/>
      <c r="AW89" s="7"/>
      <c r="AX89" s="7"/>
      <c r="AY89" s="52"/>
      <c r="AZ89" s="62">
        <v>0</v>
      </c>
    </row>
    <row r="90" spans="1:52" x14ac:dyDescent="0.4">
      <c r="A90" s="12">
        <f t="shared" si="20"/>
        <v>28</v>
      </c>
      <c r="B90" s="77">
        <f t="shared" si="14"/>
        <v>0</v>
      </c>
      <c r="C90" s="41">
        <f t="shared" si="24"/>
        <v>0</v>
      </c>
      <c r="D90" s="41">
        <f>D87</f>
        <v>0</v>
      </c>
      <c r="E90" s="41">
        <f>IF(AND(S90&lt;ηAC値Z,ηAC値Z&lt;=W90),1,0)</f>
        <v>0</v>
      </c>
      <c r="F90" s="157">
        <f t="shared" si="23"/>
        <v>0</v>
      </c>
      <c r="G90" s="158">
        <f t="shared" si="15"/>
        <v>0</v>
      </c>
      <c r="H90" s="158">
        <f t="shared" si="16"/>
        <v>0</v>
      </c>
      <c r="I90" s="158">
        <f t="shared" si="17"/>
        <v>0</v>
      </c>
      <c r="J90" s="159">
        <f t="shared" si="18"/>
        <v>0</v>
      </c>
      <c r="N90" s="456"/>
      <c r="O90" s="457"/>
      <c r="P90" s="457"/>
      <c r="Q90" s="457"/>
      <c r="R90" s="462"/>
      <c r="S90" s="53">
        <v>2.7</v>
      </c>
      <c r="T90" s="7" t="s">
        <v>46</v>
      </c>
      <c r="U90" s="7" t="s">
        <v>47</v>
      </c>
      <c r="V90" s="7" t="s">
        <v>42</v>
      </c>
      <c r="W90" s="52">
        <v>3.2</v>
      </c>
      <c r="X90" s="3">
        <v>13</v>
      </c>
      <c r="Z90" s="53"/>
      <c r="AA90" s="7"/>
      <c r="AB90" s="7"/>
      <c r="AC90" s="7"/>
      <c r="AD90" s="52"/>
      <c r="AE90" s="3">
        <v>14</v>
      </c>
      <c r="AG90" s="53"/>
      <c r="AH90" s="7"/>
      <c r="AI90" s="7"/>
      <c r="AJ90" s="7"/>
      <c r="AK90" s="52"/>
      <c r="AL90" s="3">
        <v>14</v>
      </c>
      <c r="AN90" s="53"/>
      <c r="AO90" s="7"/>
      <c r="AP90" s="7"/>
      <c r="AQ90" s="7"/>
      <c r="AR90" s="52"/>
      <c r="AS90" s="62">
        <v>14</v>
      </c>
      <c r="AU90" s="53"/>
      <c r="AV90" s="7"/>
      <c r="AW90" s="7"/>
      <c r="AX90" s="7"/>
      <c r="AY90" s="52"/>
      <c r="AZ90" s="62">
        <v>0</v>
      </c>
    </row>
    <row r="91" spans="1:52" x14ac:dyDescent="0.4">
      <c r="A91" s="12">
        <f t="shared" si="20"/>
        <v>29</v>
      </c>
      <c r="B91" s="77">
        <f t="shared" si="14"/>
        <v>0</v>
      </c>
      <c r="C91" s="41">
        <f t="shared" si="24"/>
        <v>0</v>
      </c>
      <c r="D91" s="41">
        <f>D87</f>
        <v>0</v>
      </c>
      <c r="E91" s="41">
        <f>IF(AND(S91&lt;ηAC値Z,ηAC値Z&lt;=W91),1,0)</f>
        <v>0</v>
      </c>
      <c r="F91" s="157">
        <f t="shared" si="23"/>
        <v>0</v>
      </c>
      <c r="G91" s="158">
        <f t="shared" si="15"/>
        <v>0</v>
      </c>
      <c r="H91" s="158">
        <f t="shared" si="16"/>
        <v>0</v>
      </c>
      <c r="I91" s="158">
        <f t="shared" si="17"/>
        <v>0</v>
      </c>
      <c r="J91" s="159">
        <f t="shared" si="18"/>
        <v>0</v>
      </c>
      <c r="N91" s="456"/>
      <c r="O91" s="457"/>
      <c r="P91" s="457"/>
      <c r="Q91" s="457"/>
      <c r="R91" s="462"/>
      <c r="S91" s="53">
        <v>3.2</v>
      </c>
      <c r="T91" s="7" t="s">
        <v>46</v>
      </c>
      <c r="U91" s="7" t="s">
        <v>47</v>
      </c>
      <c r="V91" s="7" t="s">
        <v>42</v>
      </c>
      <c r="W91" s="52">
        <v>3.7</v>
      </c>
      <c r="X91" s="3">
        <v>14</v>
      </c>
      <c r="Z91" s="53"/>
      <c r="AA91" s="7"/>
      <c r="AB91" s="7"/>
      <c r="AC91" s="7"/>
      <c r="AD91" s="52"/>
      <c r="AE91" s="3">
        <v>15</v>
      </c>
      <c r="AG91" s="53"/>
      <c r="AH91" s="7"/>
      <c r="AI91" s="7"/>
      <c r="AJ91" s="7"/>
      <c r="AK91" s="52"/>
      <c r="AL91" s="3">
        <v>15</v>
      </c>
      <c r="AN91" s="53"/>
      <c r="AO91" s="7"/>
      <c r="AP91" s="7"/>
      <c r="AQ91" s="7"/>
      <c r="AR91" s="52"/>
      <c r="AS91" s="62">
        <v>15</v>
      </c>
      <c r="AU91" s="53"/>
      <c r="AV91" s="7"/>
      <c r="AW91" s="7"/>
      <c r="AX91" s="7"/>
      <c r="AY91" s="52"/>
      <c r="AZ91" s="62">
        <v>0</v>
      </c>
    </row>
    <row r="92" spans="1:52" ht="19.5" thickBot="1" x14ac:dyDescent="0.45">
      <c r="A92" s="12">
        <f t="shared" si="20"/>
        <v>30</v>
      </c>
      <c r="B92" s="77">
        <f t="shared" si="14"/>
        <v>0</v>
      </c>
      <c r="C92" s="41">
        <f t="shared" si="24"/>
        <v>0</v>
      </c>
      <c r="D92" s="42">
        <f>D87</f>
        <v>0</v>
      </c>
      <c r="E92" s="41">
        <f>IF(AND(S92&lt;ηAC値Z,ηAC値Z&lt;=W92),1,0)</f>
        <v>0</v>
      </c>
      <c r="F92" s="160">
        <f t="shared" si="23"/>
        <v>0</v>
      </c>
      <c r="G92" s="161">
        <f t="shared" si="15"/>
        <v>0</v>
      </c>
      <c r="H92" s="161">
        <f t="shared" si="16"/>
        <v>0</v>
      </c>
      <c r="I92" s="161">
        <f t="shared" si="17"/>
        <v>0</v>
      </c>
      <c r="J92" s="162">
        <f t="shared" si="18"/>
        <v>0</v>
      </c>
      <c r="N92" s="463"/>
      <c r="O92" s="464"/>
      <c r="P92" s="464"/>
      <c r="Q92" s="464"/>
      <c r="R92" s="466"/>
      <c r="S92" s="63">
        <v>3.7</v>
      </c>
      <c r="T92" s="48" t="s">
        <v>46</v>
      </c>
      <c r="U92" s="48" t="s">
        <v>47</v>
      </c>
      <c r="V92" s="48" t="s">
        <v>42</v>
      </c>
      <c r="W92" s="64">
        <v>4.2</v>
      </c>
      <c r="X92" s="65">
        <v>16</v>
      </c>
      <c r="Y92" s="46"/>
      <c r="Z92" s="63"/>
      <c r="AA92" s="48"/>
      <c r="AB92" s="48"/>
      <c r="AC92" s="48"/>
      <c r="AD92" s="64"/>
      <c r="AE92" s="65">
        <v>17</v>
      </c>
      <c r="AF92" s="46"/>
      <c r="AG92" s="63"/>
      <c r="AH92" s="48"/>
      <c r="AI92" s="48"/>
      <c r="AJ92" s="48"/>
      <c r="AK92" s="64"/>
      <c r="AL92" s="65">
        <v>17</v>
      </c>
      <c r="AM92" s="46"/>
      <c r="AN92" s="63"/>
      <c r="AO92" s="48"/>
      <c r="AP92" s="48"/>
      <c r="AQ92" s="48"/>
      <c r="AR92" s="64"/>
      <c r="AS92" s="66">
        <v>17</v>
      </c>
      <c r="AU92" s="63"/>
      <c r="AV92" s="48"/>
      <c r="AW92" s="48"/>
      <c r="AX92" s="48"/>
      <c r="AY92" s="64"/>
      <c r="AZ92" s="66">
        <v>0</v>
      </c>
    </row>
    <row r="93" spans="1:52" x14ac:dyDescent="0.4">
      <c r="A93" s="12">
        <f t="shared" si="20"/>
        <v>31</v>
      </c>
      <c r="B93" s="77">
        <f t="shared" si="14"/>
        <v>0</v>
      </c>
      <c r="C93" s="41">
        <f t="shared" si="24"/>
        <v>0</v>
      </c>
      <c r="D93" s="40">
        <f>IF(N93&lt;=UA値z,1,0)</f>
        <v>0</v>
      </c>
      <c r="E93" s="40">
        <f>IF(ηAC値Z&lt;=W93,1,0)</f>
        <v>0</v>
      </c>
      <c r="F93" s="154">
        <f t="shared" si="23"/>
        <v>0</v>
      </c>
      <c r="G93" s="155">
        <f t="shared" si="15"/>
        <v>0</v>
      </c>
      <c r="H93" s="155">
        <f t="shared" si="16"/>
        <v>0</v>
      </c>
      <c r="I93" s="155">
        <f t="shared" si="17"/>
        <v>0</v>
      </c>
      <c r="J93" s="156">
        <f t="shared" si="18"/>
        <v>0</v>
      </c>
      <c r="N93" s="456">
        <v>1.5</v>
      </c>
      <c r="O93" s="457" t="s">
        <v>42</v>
      </c>
      <c r="P93" s="457" t="s">
        <v>45</v>
      </c>
      <c r="Q93" s="457"/>
      <c r="R93" s="462"/>
      <c r="S93" s="70"/>
      <c r="T93" s="47"/>
      <c r="U93" s="47" t="s">
        <v>47</v>
      </c>
      <c r="V93" s="47" t="s">
        <v>42</v>
      </c>
      <c r="W93" s="58">
        <v>1.7</v>
      </c>
      <c r="X93" s="42">
        <v>8</v>
      </c>
      <c r="Z93" s="70"/>
      <c r="AA93" s="47"/>
      <c r="AB93" s="47"/>
      <c r="AC93" s="47"/>
      <c r="AD93" s="58"/>
      <c r="AE93" s="42">
        <v>8</v>
      </c>
      <c r="AG93" s="70"/>
      <c r="AH93" s="47"/>
      <c r="AI93" s="47"/>
      <c r="AJ93" s="47"/>
      <c r="AK93" s="58"/>
      <c r="AL93" s="42">
        <v>8</v>
      </c>
      <c r="AN93" s="70"/>
      <c r="AO93" s="47"/>
      <c r="AP93" s="47"/>
      <c r="AQ93" s="47"/>
      <c r="AR93" s="58"/>
      <c r="AS93" s="74">
        <v>8</v>
      </c>
      <c r="AU93" s="13"/>
      <c r="AV93" s="2"/>
      <c r="AW93" s="2"/>
      <c r="AX93" s="2"/>
      <c r="AY93" s="54"/>
      <c r="AZ93" s="74">
        <v>0</v>
      </c>
    </row>
    <row r="94" spans="1:52" x14ac:dyDescent="0.4">
      <c r="A94" s="12">
        <f t="shared" si="20"/>
        <v>32</v>
      </c>
      <c r="B94" s="77">
        <f t="shared" si="14"/>
        <v>0</v>
      </c>
      <c r="C94" s="41">
        <f t="shared" si="24"/>
        <v>0</v>
      </c>
      <c r="D94" s="41">
        <f>D93</f>
        <v>0</v>
      </c>
      <c r="E94" s="41">
        <f>IF(AND(S94&lt;ηAC値Z,ηAC値Z&lt;=W94),1,0)</f>
        <v>1</v>
      </c>
      <c r="F94" s="157">
        <f t="shared" si="23"/>
        <v>9</v>
      </c>
      <c r="G94" s="158">
        <f t="shared" si="15"/>
        <v>9</v>
      </c>
      <c r="H94" s="158">
        <f t="shared" si="16"/>
        <v>9</v>
      </c>
      <c r="I94" s="158">
        <f t="shared" si="17"/>
        <v>9</v>
      </c>
      <c r="J94" s="159">
        <f t="shared" si="18"/>
        <v>0</v>
      </c>
      <c r="N94" s="456"/>
      <c r="O94" s="457"/>
      <c r="P94" s="457"/>
      <c r="Q94" s="457"/>
      <c r="R94" s="462"/>
      <c r="S94" s="53">
        <v>1.7</v>
      </c>
      <c r="T94" s="7" t="s">
        <v>46</v>
      </c>
      <c r="U94" s="7" t="s">
        <v>47</v>
      </c>
      <c r="V94" s="7" t="s">
        <v>42</v>
      </c>
      <c r="W94" s="52">
        <v>2.2000000000000002</v>
      </c>
      <c r="X94" s="3">
        <v>9</v>
      </c>
      <c r="Z94" s="53"/>
      <c r="AA94" s="7"/>
      <c r="AB94" s="7"/>
      <c r="AC94" s="7"/>
      <c r="AD94" s="52"/>
      <c r="AE94" s="3">
        <v>9</v>
      </c>
      <c r="AG94" s="53"/>
      <c r="AH94" s="7"/>
      <c r="AI94" s="7"/>
      <c r="AJ94" s="7"/>
      <c r="AK94" s="52"/>
      <c r="AL94" s="3">
        <v>9</v>
      </c>
      <c r="AN94" s="53"/>
      <c r="AO94" s="7"/>
      <c r="AP94" s="7"/>
      <c r="AQ94" s="7"/>
      <c r="AR94" s="52"/>
      <c r="AS94" s="62">
        <v>9</v>
      </c>
      <c r="AU94" s="53"/>
      <c r="AV94" s="7"/>
      <c r="AW94" s="7"/>
      <c r="AX94" s="7"/>
      <c r="AY94" s="52"/>
      <c r="AZ94" s="62">
        <v>0</v>
      </c>
    </row>
    <row r="95" spans="1:52" x14ac:dyDescent="0.4">
      <c r="A95" s="12">
        <f t="shared" si="20"/>
        <v>33</v>
      </c>
      <c r="B95" s="77">
        <f t="shared" si="14"/>
        <v>0</v>
      </c>
      <c r="C95" s="41">
        <f t="shared" si="24"/>
        <v>0</v>
      </c>
      <c r="D95" s="41">
        <f>D93</f>
        <v>0</v>
      </c>
      <c r="E95" s="41">
        <f>IF(AND(S95&lt;ηAC値Z,ηAC値Z&lt;=W95),1,0)</f>
        <v>0</v>
      </c>
      <c r="F95" s="157">
        <f t="shared" si="23"/>
        <v>0</v>
      </c>
      <c r="G95" s="158">
        <f t="shared" si="15"/>
        <v>0</v>
      </c>
      <c r="H95" s="158">
        <f t="shared" si="16"/>
        <v>0</v>
      </c>
      <c r="I95" s="158">
        <f t="shared" si="17"/>
        <v>0</v>
      </c>
      <c r="J95" s="159">
        <f t="shared" si="18"/>
        <v>0</v>
      </c>
      <c r="N95" s="456"/>
      <c r="O95" s="457"/>
      <c r="P95" s="457"/>
      <c r="Q95" s="457"/>
      <c r="R95" s="462"/>
      <c r="S95" s="53">
        <v>2.2000000000000002</v>
      </c>
      <c r="T95" s="7" t="s">
        <v>46</v>
      </c>
      <c r="U95" s="7" t="s">
        <v>47</v>
      </c>
      <c r="V95" s="7" t="s">
        <v>42</v>
      </c>
      <c r="W95" s="52">
        <v>2.7</v>
      </c>
      <c r="X95" s="3">
        <v>10</v>
      </c>
      <c r="Z95" s="53"/>
      <c r="AA95" s="7"/>
      <c r="AB95" s="7"/>
      <c r="AC95" s="7"/>
      <c r="AD95" s="52"/>
      <c r="AE95" s="3">
        <v>11</v>
      </c>
      <c r="AG95" s="53"/>
      <c r="AH95" s="7"/>
      <c r="AI95" s="7"/>
      <c r="AJ95" s="7"/>
      <c r="AK95" s="52"/>
      <c r="AL95" s="3">
        <v>11</v>
      </c>
      <c r="AN95" s="53"/>
      <c r="AO95" s="7"/>
      <c r="AP95" s="7"/>
      <c r="AQ95" s="7"/>
      <c r="AR95" s="52"/>
      <c r="AS95" s="62">
        <v>11</v>
      </c>
      <c r="AU95" s="53"/>
      <c r="AV95" s="7"/>
      <c r="AW95" s="7"/>
      <c r="AX95" s="7"/>
      <c r="AY95" s="52"/>
      <c r="AZ95" s="62">
        <v>0</v>
      </c>
    </row>
    <row r="96" spans="1:52" x14ac:dyDescent="0.4">
      <c r="A96" s="12">
        <f t="shared" si="20"/>
        <v>34</v>
      </c>
      <c r="B96" s="77">
        <f t="shared" si="14"/>
        <v>0</v>
      </c>
      <c r="C96" s="41">
        <f t="shared" si="24"/>
        <v>0</v>
      </c>
      <c r="D96" s="41">
        <f>D93</f>
        <v>0</v>
      </c>
      <c r="E96" s="41">
        <f>IF(AND(S96&lt;ηAC値Z,ηAC値Z&lt;=W96),1,0)</f>
        <v>0</v>
      </c>
      <c r="F96" s="157">
        <f t="shared" si="23"/>
        <v>0</v>
      </c>
      <c r="G96" s="158">
        <f t="shared" si="15"/>
        <v>0</v>
      </c>
      <c r="H96" s="158">
        <f t="shared" si="16"/>
        <v>0</v>
      </c>
      <c r="I96" s="158">
        <f t="shared" si="17"/>
        <v>0</v>
      </c>
      <c r="J96" s="159">
        <f t="shared" si="18"/>
        <v>0</v>
      </c>
      <c r="N96" s="456"/>
      <c r="O96" s="457"/>
      <c r="P96" s="457"/>
      <c r="Q96" s="457"/>
      <c r="R96" s="462"/>
      <c r="S96" s="53">
        <v>2.7</v>
      </c>
      <c r="T96" s="7" t="s">
        <v>46</v>
      </c>
      <c r="U96" s="7" t="s">
        <v>47</v>
      </c>
      <c r="V96" s="7" t="s">
        <v>42</v>
      </c>
      <c r="W96" s="52">
        <v>3.2</v>
      </c>
      <c r="X96" s="3">
        <v>11</v>
      </c>
      <c r="Z96" s="53"/>
      <c r="AA96" s="7"/>
      <c r="AB96" s="7"/>
      <c r="AC96" s="7"/>
      <c r="AD96" s="52"/>
      <c r="AE96" s="3">
        <v>12</v>
      </c>
      <c r="AG96" s="53"/>
      <c r="AH96" s="7"/>
      <c r="AI96" s="7"/>
      <c r="AJ96" s="7"/>
      <c r="AK96" s="52"/>
      <c r="AL96" s="3">
        <v>12</v>
      </c>
      <c r="AN96" s="53"/>
      <c r="AO96" s="7"/>
      <c r="AP96" s="7"/>
      <c r="AQ96" s="7"/>
      <c r="AR96" s="52"/>
      <c r="AS96" s="62">
        <v>12</v>
      </c>
      <c r="AU96" s="53"/>
      <c r="AV96" s="7"/>
      <c r="AW96" s="7"/>
      <c r="AX96" s="7"/>
      <c r="AY96" s="52"/>
      <c r="AZ96" s="62">
        <v>0</v>
      </c>
    </row>
    <row r="97" spans="1:52" x14ac:dyDescent="0.4">
      <c r="A97" s="12">
        <f t="shared" si="20"/>
        <v>35</v>
      </c>
      <c r="B97" s="77">
        <f t="shared" si="14"/>
        <v>0</v>
      </c>
      <c r="C97" s="41">
        <f t="shared" si="24"/>
        <v>0</v>
      </c>
      <c r="D97" s="41">
        <f>D93</f>
        <v>0</v>
      </c>
      <c r="E97" s="41">
        <f>IF(AND(S97&lt;ηAC値Z,ηAC値Z&lt;=W97),1,0)</f>
        <v>0</v>
      </c>
      <c r="F97" s="157">
        <f t="shared" si="23"/>
        <v>0</v>
      </c>
      <c r="G97" s="158">
        <f t="shared" si="15"/>
        <v>0</v>
      </c>
      <c r="H97" s="158">
        <f t="shared" si="16"/>
        <v>0</v>
      </c>
      <c r="I97" s="158">
        <f t="shared" si="17"/>
        <v>0</v>
      </c>
      <c r="J97" s="159">
        <f t="shared" si="18"/>
        <v>0</v>
      </c>
      <c r="N97" s="456"/>
      <c r="O97" s="457"/>
      <c r="P97" s="457"/>
      <c r="Q97" s="457"/>
      <c r="R97" s="462"/>
      <c r="S97" s="53">
        <v>3.2</v>
      </c>
      <c r="T97" s="7" t="s">
        <v>46</v>
      </c>
      <c r="U97" s="7" t="s">
        <v>47</v>
      </c>
      <c r="V97" s="7" t="s">
        <v>42</v>
      </c>
      <c r="W97" s="52">
        <v>3.7</v>
      </c>
      <c r="X97" s="3">
        <v>13</v>
      </c>
      <c r="Z97" s="53"/>
      <c r="AA97" s="7"/>
      <c r="AB97" s="7"/>
      <c r="AC97" s="7"/>
      <c r="AD97" s="52"/>
      <c r="AE97" s="3">
        <v>14</v>
      </c>
      <c r="AG97" s="53"/>
      <c r="AH97" s="7"/>
      <c r="AI97" s="7"/>
      <c r="AJ97" s="7"/>
      <c r="AK97" s="52"/>
      <c r="AL97" s="3">
        <v>14</v>
      </c>
      <c r="AN97" s="53"/>
      <c r="AO97" s="7"/>
      <c r="AP97" s="7"/>
      <c r="AQ97" s="7"/>
      <c r="AR97" s="52"/>
      <c r="AS97" s="62">
        <v>14</v>
      </c>
      <c r="AU97" s="53"/>
      <c r="AV97" s="7"/>
      <c r="AW97" s="7"/>
      <c r="AX97" s="7"/>
      <c r="AY97" s="52"/>
      <c r="AZ97" s="62">
        <v>0</v>
      </c>
    </row>
    <row r="98" spans="1:52" ht="19.5" thickBot="1" x14ac:dyDescent="0.45">
      <c r="A98" s="12">
        <f t="shared" si="20"/>
        <v>36</v>
      </c>
      <c r="B98" s="77">
        <f t="shared" si="14"/>
        <v>0</v>
      </c>
      <c r="C98" s="42">
        <f t="shared" si="24"/>
        <v>0</v>
      </c>
      <c r="D98" s="42">
        <f>D93</f>
        <v>0</v>
      </c>
      <c r="E98" s="42">
        <f>IF(AND(S98&lt;ηAC値Z,ηAC値Z&lt;=W98),1,0)</f>
        <v>0</v>
      </c>
      <c r="F98" s="160">
        <f t="shared" si="23"/>
        <v>0</v>
      </c>
      <c r="G98" s="161">
        <f t="shared" si="15"/>
        <v>0</v>
      </c>
      <c r="H98" s="161">
        <f t="shared" si="16"/>
        <v>0</v>
      </c>
      <c r="I98" s="161">
        <f t="shared" si="17"/>
        <v>0</v>
      </c>
      <c r="J98" s="162">
        <f t="shared" si="18"/>
        <v>0</v>
      </c>
      <c r="N98" s="463"/>
      <c r="O98" s="464"/>
      <c r="P98" s="464"/>
      <c r="Q98" s="464"/>
      <c r="R98" s="466"/>
      <c r="S98" s="63">
        <v>3.7</v>
      </c>
      <c r="T98" s="48" t="s">
        <v>46</v>
      </c>
      <c r="U98" s="48" t="s">
        <v>47</v>
      </c>
      <c r="V98" s="48" t="s">
        <v>42</v>
      </c>
      <c r="W98" s="64">
        <v>4.2</v>
      </c>
      <c r="X98" s="65">
        <v>14</v>
      </c>
      <c r="Y98" s="46"/>
      <c r="Z98" s="63"/>
      <c r="AA98" s="48"/>
      <c r="AB98" s="48"/>
      <c r="AC98" s="48"/>
      <c r="AD98" s="64"/>
      <c r="AE98" s="65">
        <v>15</v>
      </c>
      <c r="AF98" s="46"/>
      <c r="AG98" s="63"/>
      <c r="AH98" s="48"/>
      <c r="AI98" s="48"/>
      <c r="AJ98" s="48"/>
      <c r="AK98" s="64"/>
      <c r="AL98" s="65">
        <v>15</v>
      </c>
      <c r="AM98" s="46"/>
      <c r="AN98" s="63"/>
      <c r="AO98" s="48"/>
      <c r="AP98" s="48"/>
      <c r="AQ98" s="48"/>
      <c r="AR98" s="64"/>
      <c r="AS98" s="66">
        <v>15</v>
      </c>
      <c r="AU98" s="63"/>
      <c r="AV98" s="48"/>
      <c r="AW98" s="48"/>
      <c r="AX98" s="48"/>
      <c r="AY98" s="64"/>
      <c r="AZ98" s="66">
        <v>0</v>
      </c>
    </row>
    <row r="99" spans="1:52" x14ac:dyDescent="0.4">
      <c r="A99" s="447" t="s">
        <v>247</v>
      </c>
      <c r="B99" s="449">
        <f>SUM(B63:B98)</f>
        <v>13</v>
      </c>
    </row>
    <row r="100" spans="1:52" ht="19.5" thickBot="1" x14ac:dyDescent="0.45">
      <c r="A100" s="448"/>
      <c r="B100" s="450"/>
    </row>
  </sheetData>
  <sheetProtection algorithmName="SHA-512" hashValue="b5uJGgyH0635FEVZoXlr1m5D3s0IqgKVCV8uXBoNa2M710gRz2/IMLyTk8gB/DuG2WjtQyc8HX0f6LutTH8S/w==" saltValue="uk0N7vE3JMlY3re0zP7qNQ==" spinCount="100000" sheet="1" selectLockedCells="1"/>
  <mergeCells count="110">
    <mergeCell ref="N93:N98"/>
    <mergeCell ref="O93:O98"/>
    <mergeCell ref="P93:P98"/>
    <mergeCell ref="Q93:Q98"/>
    <mergeCell ref="R93:R98"/>
    <mergeCell ref="N87:N92"/>
    <mergeCell ref="O87:O92"/>
    <mergeCell ref="P87:P92"/>
    <mergeCell ref="Q87:Q92"/>
    <mergeCell ref="R87:R92"/>
    <mergeCell ref="N81:N86"/>
    <mergeCell ref="O81:O86"/>
    <mergeCell ref="P81:P86"/>
    <mergeCell ref="Q81:Q86"/>
    <mergeCell ref="R81:R86"/>
    <mergeCell ref="N69:N74"/>
    <mergeCell ref="O69:O74"/>
    <mergeCell ref="P69:P74"/>
    <mergeCell ref="Q69:Q74"/>
    <mergeCell ref="R69:R74"/>
    <mergeCell ref="N75:N80"/>
    <mergeCell ref="O75:O80"/>
    <mergeCell ref="P75:P80"/>
    <mergeCell ref="Q75:Q80"/>
    <mergeCell ref="R75:R80"/>
    <mergeCell ref="Z62:AD62"/>
    <mergeCell ref="AG62:AK62"/>
    <mergeCell ref="AN62:AR62"/>
    <mergeCell ref="N63:N68"/>
    <mergeCell ref="O63:O68"/>
    <mergeCell ref="P63:P68"/>
    <mergeCell ref="Q63:Q68"/>
    <mergeCell ref="R63:R68"/>
    <mergeCell ref="S55:X61"/>
    <mergeCell ref="Z55:AE61"/>
    <mergeCell ref="AG55:AL61"/>
    <mergeCell ref="AN55:AS61"/>
    <mergeCell ref="N62:R62"/>
    <mergeCell ref="S62:W62"/>
    <mergeCell ref="N45:N50"/>
    <mergeCell ref="O45:O50"/>
    <mergeCell ref="P45:P50"/>
    <mergeCell ref="Q45:Q50"/>
    <mergeCell ref="R45:R50"/>
    <mergeCell ref="N39:N44"/>
    <mergeCell ref="O39:O44"/>
    <mergeCell ref="P39:P44"/>
    <mergeCell ref="Q39:Q44"/>
    <mergeCell ref="R39:R44"/>
    <mergeCell ref="N33:N38"/>
    <mergeCell ref="O33:O38"/>
    <mergeCell ref="P33:P38"/>
    <mergeCell ref="Q33:Q38"/>
    <mergeCell ref="R33:R38"/>
    <mergeCell ref="N27:N32"/>
    <mergeCell ref="O27:O32"/>
    <mergeCell ref="P27:P32"/>
    <mergeCell ref="Q27:Q32"/>
    <mergeCell ref="R27:R32"/>
    <mergeCell ref="P21:P26"/>
    <mergeCell ref="Q21:Q26"/>
    <mergeCell ref="R21:R26"/>
    <mergeCell ref="N15:N20"/>
    <mergeCell ref="O15:O20"/>
    <mergeCell ref="P15:P20"/>
    <mergeCell ref="Q15:Q20"/>
    <mergeCell ref="R15:R20"/>
    <mergeCell ref="S7:X13"/>
    <mergeCell ref="N21:N26"/>
    <mergeCell ref="O21:O26"/>
    <mergeCell ref="S14:W14"/>
    <mergeCell ref="Z14:AD14"/>
    <mergeCell ref="AG14:AK14"/>
    <mergeCell ref="AN14:AR14"/>
    <mergeCell ref="Z7:AE13"/>
    <mergeCell ref="AG7:AL13"/>
    <mergeCell ref="AN7:AS13"/>
    <mergeCell ref="N3:O4"/>
    <mergeCell ref="P3:R3"/>
    <mergeCell ref="S3:X3"/>
    <mergeCell ref="Z3:AE3"/>
    <mergeCell ref="AG3:AL3"/>
    <mergeCell ref="AN3:AS3"/>
    <mergeCell ref="S4:X4"/>
    <mergeCell ref="Z4:AE4"/>
    <mergeCell ref="P4:R4"/>
    <mergeCell ref="AU3:AZ3"/>
    <mergeCell ref="AU4:AZ4"/>
    <mergeCell ref="AU14:AY14"/>
    <mergeCell ref="AU55:AZ61"/>
    <mergeCell ref="AU62:AY62"/>
    <mergeCell ref="A99:A100"/>
    <mergeCell ref="B99:B100"/>
    <mergeCell ref="D7:F7"/>
    <mergeCell ref="D8:F8"/>
    <mergeCell ref="D9:F9"/>
    <mergeCell ref="D10:F10"/>
    <mergeCell ref="A53:A54"/>
    <mergeCell ref="B53:B54"/>
    <mergeCell ref="B61:C61"/>
    <mergeCell ref="D61:D62"/>
    <mergeCell ref="E61:E62"/>
    <mergeCell ref="B13:C13"/>
    <mergeCell ref="D13:D14"/>
    <mergeCell ref="E13:E14"/>
    <mergeCell ref="B12:J12"/>
    <mergeCell ref="F13:J13"/>
    <mergeCell ref="AG4:AL4"/>
    <mergeCell ref="AN4:AS4"/>
    <mergeCell ref="N14:R1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1739-B616-403D-AFDE-5794897D0283}">
  <dimension ref="A1:Z54"/>
  <sheetViews>
    <sheetView view="pageBreakPreview" topLeftCell="AC1" zoomScale="60" zoomScaleNormal="85" workbookViewId="0">
      <selection activeCell="BE32" sqref="BE32"/>
    </sheetView>
  </sheetViews>
  <sheetFormatPr defaultRowHeight="18.75" x14ac:dyDescent="0.4"/>
  <cols>
    <col min="1" max="5" width="0" hidden="1" customWidth="1"/>
    <col min="6" max="10" width="2.75" hidden="1" customWidth="1"/>
    <col min="11" max="20" width="0" hidden="1" customWidth="1"/>
    <col min="21" max="26" width="17.875" hidden="1" customWidth="1"/>
    <col min="27" max="28" width="0" hidden="1" customWidth="1"/>
  </cols>
  <sheetData>
    <row r="1" spans="1:25" x14ac:dyDescent="0.4">
      <c r="A1" s="85" t="s">
        <v>243</v>
      </c>
      <c r="B1" s="3">
        <f>一次エネ消費量表紙!C15</f>
        <v>1</v>
      </c>
      <c r="L1" t="s">
        <v>6</v>
      </c>
      <c r="N1" t="s">
        <v>160</v>
      </c>
    </row>
    <row r="2" spans="1:25" ht="19.5" thickBot="1" x14ac:dyDescent="0.45"/>
    <row r="3" spans="1:25" ht="19.5" thickBot="1" x14ac:dyDescent="0.45">
      <c r="A3" t="s">
        <v>48</v>
      </c>
      <c r="L3" t="s">
        <v>48</v>
      </c>
      <c r="U3" s="51" t="s">
        <v>161</v>
      </c>
      <c r="V3" s="51" t="s">
        <v>277</v>
      </c>
      <c r="W3" s="51" t="s">
        <v>162</v>
      </c>
      <c r="X3" s="51" t="s">
        <v>163</v>
      </c>
      <c r="Y3" s="51" t="s">
        <v>164</v>
      </c>
    </row>
    <row r="4" spans="1:25" ht="19.5" thickBot="1" x14ac:dyDescent="0.45">
      <c r="A4" s="469" t="s">
        <v>265</v>
      </c>
      <c r="B4" s="469"/>
      <c r="C4" s="3">
        <f>一次エネ消費量表紙!A49</f>
        <v>4</v>
      </c>
      <c r="N4" s="44" t="s">
        <v>49</v>
      </c>
      <c r="U4" s="470" t="s">
        <v>44</v>
      </c>
      <c r="V4" s="470"/>
      <c r="W4" s="470"/>
      <c r="X4" s="470"/>
      <c r="Y4" s="470"/>
    </row>
    <row r="5" spans="1:25" ht="19.5" thickBot="1" x14ac:dyDescent="0.45">
      <c r="B5" s="4" t="s">
        <v>44</v>
      </c>
      <c r="C5" s="201">
        <f>HLOOKUP(暖房方式番号Z,換気設備配列7地域,C4+1,FALSE)</f>
        <v>9</v>
      </c>
      <c r="M5" s="469" t="s">
        <v>50</v>
      </c>
      <c r="N5" s="469"/>
      <c r="O5" s="469"/>
      <c r="P5" s="469"/>
      <c r="Q5" s="469"/>
      <c r="R5" s="469"/>
      <c r="S5" s="469"/>
      <c r="T5" s="45"/>
      <c r="U5" s="211">
        <v>1</v>
      </c>
      <c r="V5" s="211">
        <v>2</v>
      </c>
      <c r="W5" s="211">
        <v>3</v>
      </c>
      <c r="X5" s="211">
        <v>4</v>
      </c>
      <c r="Y5" s="211">
        <v>5</v>
      </c>
    </row>
    <row r="6" spans="1:25" x14ac:dyDescent="0.4">
      <c r="M6" s="45" t="s">
        <v>73</v>
      </c>
      <c r="N6" s="418" t="s">
        <v>51</v>
      </c>
      <c r="O6" s="418"/>
      <c r="P6" s="418"/>
      <c r="Q6" s="418"/>
      <c r="R6" s="418"/>
      <c r="S6" s="418"/>
      <c r="T6" s="3">
        <v>1</v>
      </c>
      <c r="U6" s="3">
        <v>15</v>
      </c>
      <c r="V6" s="3">
        <v>15</v>
      </c>
      <c r="W6" s="3">
        <v>15</v>
      </c>
      <c r="X6" s="3">
        <v>15</v>
      </c>
      <c r="Y6" s="3">
        <v>0</v>
      </c>
    </row>
    <row r="7" spans="1:25" x14ac:dyDescent="0.4">
      <c r="M7" s="45" t="s">
        <v>73</v>
      </c>
      <c r="N7" s="418" t="s">
        <v>52</v>
      </c>
      <c r="O7" s="418"/>
      <c r="P7" s="418"/>
      <c r="Q7" s="418"/>
      <c r="R7" s="418"/>
      <c r="S7" s="418"/>
      <c r="T7" s="3">
        <v>2</v>
      </c>
      <c r="U7" s="3">
        <v>12</v>
      </c>
      <c r="V7" s="3">
        <v>12</v>
      </c>
      <c r="W7" s="3">
        <v>12</v>
      </c>
      <c r="X7" s="3">
        <v>12</v>
      </c>
      <c r="Y7" s="3">
        <v>0</v>
      </c>
    </row>
    <row r="8" spans="1:25" x14ac:dyDescent="0.4">
      <c r="M8" s="45" t="s">
        <v>73</v>
      </c>
      <c r="N8" s="418" t="s">
        <v>53</v>
      </c>
      <c r="O8" s="418"/>
      <c r="P8" s="418"/>
      <c r="Q8" s="418"/>
      <c r="R8" s="418"/>
      <c r="S8" s="418"/>
      <c r="T8" s="3">
        <v>3</v>
      </c>
      <c r="U8" s="3">
        <v>12</v>
      </c>
      <c r="V8" s="3">
        <v>12</v>
      </c>
      <c r="W8" s="3">
        <v>12</v>
      </c>
      <c r="X8" s="3">
        <v>12</v>
      </c>
      <c r="Y8" s="3">
        <v>0</v>
      </c>
    </row>
    <row r="9" spans="1:25" x14ac:dyDescent="0.4">
      <c r="M9" s="45" t="s">
        <v>73</v>
      </c>
      <c r="N9" s="418" t="s">
        <v>54</v>
      </c>
      <c r="O9" s="418"/>
      <c r="P9" s="418"/>
      <c r="Q9" s="418"/>
      <c r="R9" s="418"/>
      <c r="S9" s="418"/>
      <c r="T9" s="3">
        <v>4</v>
      </c>
      <c r="U9" s="3">
        <v>9</v>
      </c>
      <c r="V9" s="3">
        <v>9</v>
      </c>
      <c r="W9" s="3">
        <v>9</v>
      </c>
      <c r="X9" s="3">
        <v>9</v>
      </c>
      <c r="Y9" s="3">
        <v>0</v>
      </c>
    </row>
    <row r="10" spans="1:25" x14ac:dyDescent="0.4">
      <c r="A10" t="s">
        <v>55</v>
      </c>
    </row>
    <row r="11" spans="1:25" ht="19.5" thickBot="1" x14ac:dyDescent="0.45">
      <c r="A11" s="469" t="s">
        <v>265</v>
      </c>
      <c r="B11" s="469"/>
      <c r="C11" s="3">
        <f>一次エネ消費量表紙!F68</f>
        <v>1</v>
      </c>
      <c r="L11" t="s">
        <v>55</v>
      </c>
    </row>
    <row r="12" spans="1:25" ht="19.5" thickBot="1" x14ac:dyDescent="0.45">
      <c r="B12" s="4" t="s">
        <v>44</v>
      </c>
      <c r="C12" s="201">
        <f>HLOOKUP(暖房方式番号Z,給湯設備配列7地域,C11+1,FALSE)</f>
        <v>45</v>
      </c>
      <c r="N12" s="44" t="s">
        <v>49</v>
      </c>
      <c r="O12" s="44"/>
      <c r="P12" s="44"/>
      <c r="Q12" s="44"/>
      <c r="R12" s="44"/>
      <c r="S12" s="44"/>
      <c r="T12" s="44"/>
      <c r="U12" s="51" t="s">
        <v>161</v>
      </c>
      <c r="V12" s="51" t="s">
        <v>277</v>
      </c>
      <c r="W12" s="51" t="s">
        <v>162</v>
      </c>
      <c r="X12" s="51" t="s">
        <v>163</v>
      </c>
      <c r="Y12" s="51" t="s">
        <v>164</v>
      </c>
    </row>
    <row r="13" spans="1:25" x14ac:dyDescent="0.4">
      <c r="M13" s="469" t="s">
        <v>50</v>
      </c>
      <c r="N13" s="469"/>
      <c r="O13" s="469"/>
      <c r="P13" s="469"/>
      <c r="Q13" s="469"/>
      <c r="R13" s="469" t="s">
        <v>56</v>
      </c>
      <c r="S13" s="469"/>
      <c r="T13" s="45"/>
      <c r="U13" s="211">
        <v>1</v>
      </c>
      <c r="V13" s="211">
        <v>2</v>
      </c>
      <c r="W13" s="211">
        <v>3</v>
      </c>
      <c r="X13" s="211">
        <v>4</v>
      </c>
      <c r="Y13" s="211">
        <v>5</v>
      </c>
    </row>
    <row r="14" spans="1:25" x14ac:dyDescent="0.4">
      <c r="M14" s="45" t="s">
        <v>73</v>
      </c>
      <c r="N14" s="418" t="s">
        <v>33</v>
      </c>
      <c r="O14" s="418"/>
      <c r="P14" s="418"/>
      <c r="Q14" s="418"/>
      <c r="R14" s="3"/>
      <c r="S14" s="45" t="s">
        <v>104</v>
      </c>
      <c r="T14" s="3">
        <v>1</v>
      </c>
      <c r="U14" s="3">
        <v>45</v>
      </c>
      <c r="V14" s="3">
        <v>45</v>
      </c>
      <c r="W14" s="3">
        <v>45</v>
      </c>
      <c r="X14" s="3">
        <v>45</v>
      </c>
      <c r="Y14" s="3">
        <v>0</v>
      </c>
    </row>
    <row r="15" spans="1:25" x14ac:dyDescent="0.4">
      <c r="M15" s="469" t="s">
        <v>73</v>
      </c>
      <c r="N15" s="418" t="s">
        <v>57</v>
      </c>
      <c r="O15" s="418"/>
      <c r="P15" s="418"/>
      <c r="Q15" s="418"/>
      <c r="R15" s="45" t="s">
        <v>73</v>
      </c>
      <c r="S15" s="3" t="s">
        <v>62</v>
      </c>
      <c r="T15" s="3">
        <v>2</v>
      </c>
      <c r="U15" s="3">
        <v>49</v>
      </c>
      <c r="V15" s="3">
        <v>49</v>
      </c>
      <c r="W15" s="3">
        <v>49</v>
      </c>
      <c r="X15" s="3">
        <v>49</v>
      </c>
      <c r="Y15" s="3">
        <v>0</v>
      </c>
    </row>
    <row r="16" spans="1:25" x14ac:dyDescent="0.4">
      <c r="M16" s="469"/>
      <c r="N16" s="418"/>
      <c r="O16" s="418"/>
      <c r="P16" s="418"/>
      <c r="Q16" s="418"/>
      <c r="R16" s="45" t="s">
        <v>73</v>
      </c>
      <c r="S16" s="3" t="s">
        <v>63</v>
      </c>
      <c r="T16" s="3">
        <v>3</v>
      </c>
      <c r="U16" s="3">
        <v>46</v>
      </c>
      <c r="V16" s="3">
        <v>46</v>
      </c>
      <c r="W16" s="3">
        <v>46</v>
      </c>
      <c r="X16" s="3">
        <v>46</v>
      </c>
      <c r="Y16" s="3">
        <v>0</v>
      </c>
    </row>
    <row r="17" spans="1:25" x14ac:dyDescent="0.4">
      <c r="M17" s="469" t="s">
        <v>73</v>
      </c>
      <c r="N17" s="418" t="s">
        <v>58</v>
      </c>
      <c r="O17" s="418"/>
      <c r="P17" s="418"/>
      <c r="Q17" s="418"/>
      <c r="R17" s="45" t="s">
        <v>73</v>
      </c>
      <c r="S17" s="3" t="s">
        <v>62</v>
      </c>
      <c r="T17" s="3">
        <v>4</v>
      </c>
      <c r="U17" s="3">
        <v>42</v>
      </c>
      <c r="V17" s="3">
        <v>42</v>
      </c>
      <c r="W17" s="3">
        <v>42</v>
      </c>
      <c r="X17" s="3">
        <v>42</v>
      </c>
      <c r="Y17" s="3">
        <v>0</v>
      </c>
    </row>
    <row r="18" spans="1:25" x14ac:dyDescent="0.4">
      <c r="M18" s="469"/>
      <c r="N18" s="418"/>
      <c r="O18" s="418"/>
      <c r="P18" s="418"/>
      <c r="Q18" s="418"/>
      <c r="R18" s="45" t="s">
        <v>73</v>
      </c>
      <c r="S18" s="3" t="s">
        <v>63</v>
      </c>
      <c r="T18" s="3">
        <v>5</v>
      </c>
      <c r="U18" s="3">
        <v>39</v>
      </c>
      <c r="V18" s="3">
        <v>39</v>
      </c>
      <c r="W18" s="3">
        <v>39</v>
      </c>
      <c r="X18" s="3">
        <v>39</v>
      </c>
      <c r="Y18" s="3">
        <v>0</v>
      </c>
    </row>
    <row r="19" spans="1:25" x14ac:dyDescent="0.4">
      <c r="M19" s="469" t="s">
        <v>73</v>
      </c>
      <c r="N19" s="418" t="s">
        <v>59</v>
      </c>
      <c r="O19" s="418"/>
      <c r="P19" s="418"/>
      <c r="Q19" s="418"/>
      <c r="R19" s="45" t="s">
        <v>73</v>
      </c>
      <c r="S19" s="3" t="s">
        <v>62</v>
      </c>
      <c r="T19" s="3">
        <v>6</v>
      </c>
      <c r="U19" s="3">
        <v>44</v>
      </c>
      <c r="V19" s="3">
        <v>44</v>
      </c>
      <c r="W19" s="3">
        <v>44</v>
      </c>
      <c r="X19" s="3">
        <v>44</v>
      </c>
      <c r="Y19" s="3">
        <v>0</v>
      </c>
    </row>
    <row r="20" spans="1:25" x14ac:dyDescent="0.4">
      <c r="M20" s="469"/>
      <c r="N20" s="418"/>
      <c r="O20" s="418"/>
      <c r="P20" s="418"/>
      <c r="Q20" s="418"/>
      <c r="R20" s="45" t="s">
        <v>73</v>
      </c>
      <c r="S20" s="3" t="s">
        <v>63</v>
      </c>
      <c r="T20" s="3">
        <v>7</v>
      </c>
      <c r="U20" s="3">
        <v>41</v>
      </c>
      <c r="V20" s="3">
        <v>41</v>
      </c>
      <c r="W20" s="3">
        <v>41</v>
      </c>
      <c r="X20" s="3">
        <v>41</v>
      </c>
      <c r="Y20" s="3">
        <v>0</v>
      </c>
    </row>
    <row r="21" spans="1:25" x14ac:dyDescent="0.4">
      <c r="M21" s="469" t="s">
        <v>73</v>
      </c>
      <c r="N21" s="418" t="s">
        <v>60</v>
      </c>
      <c r="O21" s="418"/>
      <c r="P21" s="418"/>
      <c r="Q21" s="418"/>
      <c r="R21" s="45" t="s">
        <v>73</v>
      </c>
      <c r="S21" s="3" t="s">
        <v>62</v>
      </c>
      <c r="T21" s="3">
        <v>8</v>
      </c>
      <c r="U21" s="3">
        <v>42</v>
      </c>
      <c r="V21" s="3">
        <v>42</v>
      </c>
      <c r="W21" s="3">
        <v>42</v>
      </c>
      <c r="X21" s="3">
        <v>42</v>
      </c>
      <c r="Y21" s="3">
        <v>0</v>
      </c>
    </row>
    <row r="22" spans="1:25" x14ac:dyDescent="0.4">
      <c r="M22" s="469"/>
      <c r="N22" s="418"/>
      <c r="O22" s="418"/>
      <c r="P22" s="418"/>
      <c r="Q22" s="418"/>
      <c r="R22" s="45" t="s">
        <v>73</v>
      </c>
      <c r="S22" s="3" t="s">
        <v>63</v>
      </c>
      <c r="T22" s="3">
        <v>9</v>
      </c>
      <c r="U22" s="3">
        <v>39</v>
      </c>
      <c r="V22" s="3">
        <v>39</v>
      </c>
      <c r="W22" s="3">
        <v>39</v>
      </c>
      <c r="X22" s="3">
        <v>39</v>
      </c>
      <c r="Y22" s="3">
        <v>0</v>
      </c>
    </row>
    <row r="23" spans="1:25" x14ac:dyDescent="0.4">
      <c r="M23" s="469" t="s">
        <v>73</v>
      </c>
      <c r="N23" s="418" t="s">
        <v>61</v>
      </c>
      <c r="O23" s="418"/>
      <c r="P23" s="418"/>
      <c r="Q23" s="418"/>
      <c r="R23" s="45" t="s">
        <v>73</v>
      </c>
      <c r="S23" s="3" t="s">
        <v>62</v>
      </c>
      <c r="T23" s="3">
        <v>10</v>
      </c>
      <c r="U23" s="3">
        <v>35</v>
      </c>
      <c r="V23" s="3">
        <v>35</v>
      </c>
      <c r="W23" s="3">
        <v>35</v>
      </c>
      <c r="X23" s="3">
        <v>35</v>
      </c>
      <c r="Y23" s="3">
        <v>0</v>
      </c>
    </row>
    <row r="24" spans="1:25" x14ac:dyDescent="0.4">
      <c r="M24" s="469"/>
      <c r="N24" s="418"/>
      <c r="O24" s="418"/>
      <c r="P24" s="418"/>
      <c r="Q24" s="418"/>
      <c r="R24" s="45" t="s">
        <v>73</v>
      </c>
      <c r="S24" s="3" t="s">
        <v>63</v>
      </c>
      <c r="T24" s="3">
        <v>11</v>
      </c>
      <c r="U24" s="3">
        <v>33</v>
      </c>
      <c r="V24" s="3">
        <v>33</v>
      </c>
      <c r="W24" s="3">
        <v>33</v>
      </c>
      <c r="X24" s="3">
        <v>33</v>
      </c>
      <c r="Y24" s="3">
        <v>0</v>
      </c>
    </row>
    <row r="25" spans="1:25" x14ac:dyDescent="0.4">
      <c r="N25" s="472" t="s">
        <v>65</v>
      </c>
      <c r="O25" s="472"/>
      <c r="P25" s="472"/>
      <c r="Q25" s="472"/>
      <c r="R25" s="472"/>
      <c r="S25" s="472"/>
      <c r="T25" s="472"/>
      <c r="U25" s="472"/>
      <c r="V25" s="203"/>
    </row>
    <row r="26" spans="1:25" x14ac:dyDescent="0.4">
      <c r="N26" s="472"/>
      <c r="O26" s="472"/>
      <c r="P26" s="472"/>
      <c r="Q26" s="472"/>
      <c r="R26" s="472"/>
      <c r="S26" s="472"/>
      <c r="T26" s="472"/>
      <c r="U26" s="472"/>
      <c r="V26" s="203"/>
    </row>
    <row r="27" spans="1:25" x14ac:dyDescent="0.4">
      <c r="N27" s="472"/>
      <c r="O27" s="472"/>
      <c r="P27" s="472"/>
      <c r="Q27" s="472"/>
      <c r="R27" s="472"/>
      <c r="S27" s="472"/>
      <c r="T27" s="472"/>
      <c r="U27" s="472"/>
      <c r="V27" s="203"/>
    </row>
    <row r="28" spans="1:25" x14ac:dyDescent="0.4">
      <c r="N28" s="472"/>
      <c r="O28" s="472"/>
      <c r="P28" s="472"/>
      <c r="Q28" s="472"/>
      <c r="R28" s="472"/>
      <c r="S28" s="472"/>
      <c r="T28" s="472"/>
      <c r="U28" s="472"/>
      <c r="V28" s="203"/>
    </row>
    <row r="29" spans="1:25" x14ac:dyDescent="0.4">
      <c r="A29" t="s">
        <v>64</v>
      </c>
      <c r="N29" s="472"/>
      <c r="O29" s="472"/>
      <c r="P29" s="472"/>
      <c r="Q29" s="472"/>
      <c r="R29" s="472"/>
      <c r="S29" s="472"/>
      <c r="T29" s="472"/>
      <c r="U29" s="472"/>
      <c r="V29" s="203"/>
    </row>
    <row r="30" spans="1:25" ht="19.5" thickBot="1" x14ac:dyDescent="0.45">
      <c r="A30" s="469" t="s">
        <v>265</v>
      </c>
      <c r="B30" s="469"/>
      <c r="C30" s="3">
        <f>一次エネ消費量表紙!F98</f>
        <v>1</v>
      </c>
      <c r="L30" t="s">
        <v>64</v>
      </c>
    </row>
    <row r="31" spans="1:25" ht="18.75" customHeight="1" thickBot="1" x14ac:dyDescent="0.45">
      <c r="B31" s="4" t="s">
        <v>44</v>
      </c>
      <c r="C31" s="201">
        <f>HLOOKUP(暖房方式番号Z,照明設備配列7地域,C30+1,FALSE)</f>
        <v>11</v>
      </c>
      <c r="N31" s="471" t="s">
        <v>66</v>
      </c>
      <c r="O31" s="471"/>
      <c r="P31" s="471"/>
      <c r="Q31" s="471"/>
      <c r="R31" s="471"/>
      <c r="S31" s="471"/>
      <c r="T31" s="471"/>
      <c r="U31" s="471"/>
      <c r="V31" s="202"/>
    </row>
    <row r="32" spans="1:25" x14ac:dyDescent="0.4">
      <c r="N32" s="471"/>
      <c r="O32" s="471"/>
      <c r="P32" s="471"/>
      <c r="Q32" s="471"/>
      <c r="R32" s="471"/>
      <c r="S32" s="471"/>
      <c r="T32" s="471"/>
      <c r="U32" s="471"/>
      <c r="V32" s="202"/>
    </row>
    <row r="33" spans="13:25" ht="19.5" thickBot="1" x14ac:dyDescent="0.45">
      <c r="N33" s="471"/>
      <c r="O33" s="471"/>
      <c r="P33" s="471"/>
      <c r="Q33" s="471"/>
      <c r="R33" s="471"/>
      <c r="S33" s="471"/>
      <c r="T33" s="471"/>
      <c r="U33" s="471"/>
      <c r="V33" s="202"/>
    </row>
    <row r="34" spans="13:25" ht="19.5" thickBot="1" x14ac:dyDescent="0.45">
      <c r="M34" s="469" t="s">
        <v>50</v>
      </c>
      <c r="N34" s="469"/>
      <c r="O34" s="469"/>
      <c r="P34" s="469"/>
      <c r="Q34" s="469"/>
      <c r="R34" s="469"/>
      <c r="S34" s="469"/>
      <c r="T34" s="45"/>
      <c r="U34" s="51" t="s">
        <v>161</v>
      </c>
      <c r="V34" s="51" t="s">
        <v>277</v>
      </c>
      <c r="W34" s="51" t="s">
        <v>162</v>
      </c>
      <c r="X34" s="51" t="s">
        <v>163</v>
      </c>
      <c r="Y34" s="51" t="s">
        <v>164</v>
      </c>
    </row>
    <row r="35" spans="13:25" x14ac:dyDescent="0.4">
      <c r="M35" s="469" t="s">
        <v>67</v>
      </c>
      <c r="N35" s="469"/>
      <c r="O35" s="469"/>
      <c r="P35" s="469"/>
      <c r="Q35" s="469" t="s">
        <v>68</v>
      </c>
      <c r="R35" s="469"/>
      <c r="S35" s="469"/>
      <c r="T35" s="45"/>
      <c r="U35" s="211">
        <v>1</v>
      </c>
      <c r="V35" s="211">
        <v>2</v>
      </c>
      <c r="W35" s="211">
        <v>3</v>
      </c>
      <c r="X35" s="211">
        <v>4</v>
      </c>
      <c r="Y35" s="211">
        <v>5</v>
      </c>
    </row>
    <row r="36" spans="13:25" x14ac:dyDescent="0.4">
      <c r="M36" s="469" t="s">
        <v>73</v>
      </c>
      <c r="N36" s="418" t="s">
        <v>33</v>
      </c>
      <c r="O36" s="418"/>
      <c r="P36" s="418"/>
      <c r="Q36" s="45" t="s">
        <v>73</v>
      </c>
      <c r="R36" s="418" t="s">
        <v>69</v>
      </c>
      <c r="S36" s="418"/>
      <c r="T36" s="3">
        <v>1</v>
      </c>
      <c r="U36" s="3">
        <v>11</v>
      </c>
      <c r="V36" s="3">
        <v>11</v>
      </c>
      <c r="W36" s="3">
        <v>11</v>
      </c>
      <c r="X36" s="3">
        <v>11</v>
      </c>
      <c r="Y36" s="3">
        <v>0</v>
      </c>
    </row>
    <row r="37" spans="13:25" x14ac:dyDescent="0.4">
      <c r="M37" s="469"/>
      <c r="N37" s="418"/>
      <c r="O37" s="418"/>
      <c r="P37" s="418"/>
      <c r="Q37" s="45" t="s">
        <v>73</v>
      </c>
      <c r="R37" s="418" t="s">
        <v>70</v>
      </c>
      <c r="S37" s="418"/>
      <c r="T37" s="3">
        <v>2</v>
      </c>
      <c r="U37" s="3">
        <v>11</v>
      </c>
      <c r="V37" s="3">
        <v>11</v>
      </c>
      <c r="W37" s="3">
        <v>11</v>
      </c>
      <c r="X37" s="3">
        <v>11</v>
      </c>
      <c r="Y37" s="3">
        <v>0</v>
      </c>
    </row>
    <row r="38" spans="13:25" x14ac:dyDescent="0.4">
      <c r="M38" s="469"/>
      <c r="N38" s="418"/>
      <c r="O38" s="418"/>
      <c r="P38" s="418"/>
      <c r="Q38" s="45" t="s">
        <v>73</v>
      </c>
      <c r="R38" s="418" t="s">
        <v>71</v>
      </c>
      <c r="S38" s="418"/>
      <c r="T38" s="3">
        <v>3</v>
      </c>
      <c r="U38" s="3">
        <v>12</v>
      </c>
      <c r="V38" s="3">
        <v>12</v>
      </c>
      <c r="W38" s="3">
        <v>12</v>
      </c>
      <c r="X38" s="3">
        <v>12</v>
      </c>
      <c r="Y38" s="3">
        <v>0</v>
      </c>
    </row>
    <row r="39" spans="13:25" x14ac:dyDescent="0.4">
      <c r="M39" s="469"/>
      <c r="N39" s="418"/>
      <c r="O39" s="418"/>
      <c r="P39" s="418"/>
      <c r="Q39" s="45" t="s">
        <v>73</v>
      </c>
      <c r="R39" s="418" t="s">
        <v>72</v>
      </c>
      <c r="S39" s="418"/>
      <c r="T39" s="3">
        <v>4</v>
      </c>
      <c r="U39" s="3">
        <v>14</v>
      </c>
      <c r="V39" s="3">
        <v>14</v>
      </c>
      <c r="W39" s="3">
        <v>14</v>
      </c>
      <c r="X39" s="3">
        <v>14</v>
      </c>
      <c r="Y39" s="3">
        <v>0</v>
      </c>
    </row>
    <row r="40" spans="13:25" x14ac:dyDescent="0.4">
      <c r="M40" s="469" t="s">
        <v>73</v>
      </c>
      <c r="N40" s="418" t="s">
        <v>70</v>
      </c>
      <c r="O40" s="418"/>
      <c r="P40" s="418"/>
      <c r="Q40" s="45" t="s">
        <v>73</v>
      </c>
      <c r="R40" s="418" t="s">
        <v>69</v>
      </c>
      <c r="S40" s="418"/>
      <c r="T40" s="3">
        <v>5</v>
      </c>
      <c r="U40" s="3">
        <v>11</v>
      </c>
      <c r="V40" s="3">
        <v>11</v>
      </c>
      <c r="W40" s="3">
        <v>11</v>
      </c>
      <c r="X40" s="3">
        <v>11</v>
      </c>
      <c r="Y40" s="3">
        <v>0</v>
      </c>
    </row>
    <row r="41" spans="13:25" x14ac:dyDescent="0.4">
      <c r="M41" s="469"/>
      <c r="N41" s="418"/>
      <c r="O41" s="418"/>
      <c r="P41" s="418"/>
      <c r="Q41" s="45" t="s">
        <v>73</v>
      </c>
      <c r="R41" s="418" t="s">
        <v>70</v>
      </c>
      <c r="S41" s="418"/>
      <c r="T41" s="3">
        <v>6</v>
      </c>
      <c r="U41" s="3">
        <v>11</v>
      </c>
      <c r="V41" s="3">
        <v>11</v>
      </c>
      <c r="W41" s="3">
        <v>11</v>
      </c>
      <c r="X41" s="3">
        <v>11</v>
      </c>
      <c r="Y41" s="3">
        <v>0</v>
      </c>
    </row>
    <row r="42" spans="13:25" x14ac:dyDescent="0.4">
      <c r="M42" s="469"/>
      <c r="N42" s="418"/>
      <c r="O42" s="418"/>
      <c r="P42" s="418"/>
      <c r="Q42" s="45" t="s">
        <v>73</v>
      </c>
      <c r="R42" s="418" t="s">
        <v>71</v>
      </c>
      <c r="S42" s="418"/>
      <c r="T42" s="3">
        <v>7</v>
      </c>
      <c r="U42" s="3">
        <v>12</v>
      </c>
      <c r="V42" s="3">
        <v>12</v>
      </c>
      <c r="W42" s="3">
        <v>12</v>
      </c>
      <c r="X42" s="3">
        <v>12</v>
      </c>
      <c r="Y42" s="3">
        <v>0</v>
      </c>
    </row>
    <row r="43" spans="13:25" x14ac:dyDescent="0.4">
      <c r="M43" s="469"/>
      <c r="N43" s="418"/>
      <c r="O43" s="418"/>
      <c r="P43" s="418"/>
      <c r="Q43" s="45" t="s">
        <v>73</v>
      </c>
      <c r="R43" s="418" t="s">
        <v>72</v>
      </c>
      <c r="S43" s="418"/>
      <c r="T43" s="3">
        <v>8</v>
      </c>
      <c r="U43" s="3">
        <v>14</v>
      </c>
      <c r="V43" s="3">
        <v>14</v>
      </c>
      <c r="W43" s="3">
        <v>14</v>
      </c>
      <c r="X43" s="3">
        <v>14</v>
      </c>
      <c r="Y43" s="3">
        <v>0</v>
      </c>
    </row>
    <row r="44" spans="13:25" x14ac:dyDescent="0.4">
      <c r="M44" s="469" t="s">
        <v>73</v>
      </c>
      <c r="N44" s="418" t="s">
        <v>71</v>
      </c>
      <c r="O44" s="418"/>
      <c r="P44" s="418"/>
      <c r="Q44" s="45" t="s">
        <v>73</v>
      </c>
      <c r="R44" s="418" t="s">
        <v>69</v>
      </c>
      <c r="S44" s="418"/>
      <c r="T44" s="3">
        <v>9</v>
      </c>
      <c r="U44" s="3">
        <v>12</v>
      </c>
      <c r="V44" s="3">
        <v>12</v>
      </c>
      <c r="W44" s="3">
        <v>12</v>
      </c>
      <c r="X44" s="3">
        <v>12</v>
      </c>
      <c r="Y44" s="3">
        <v>0</v>
      </c>
    </row>
    <row r="45" spans="13:25" x14ac:dyDescent="0.4">
      <c r="M45" s="469"/>
      <c r="N45" s="418"/>
      <c r="O45" s="418"/>
      <c r="P45" s="418"/>
      <c r="Q45" s="45" t="s">
        <v>73</v>
      </c>
      <c r="R45" s="418" t="s">
        <v>70</v>
      </c>
      <c r="S45" s="418"/>
      <c r="T45" s="3">
        <v>10</v>
      </c>
      <c r="U45" s="3">
        <v>12</v>
      </c>
      <c r="V45" s="3">
        <v>12</v>
      </c>
      <c r="W45" s="3">
        <v>12</v>
      </c>
      <c r="X45" s="3">
        <v>12</v>
      </c>
      <c r="Y45" s="3">
        <v>0</v>
      </c>
    </row>
    <row r="46" spans="13:25" x14ac:dyDescent="0.4">
      <c r="M46" s="469"/>
      <c r="N46" s="418"/>
      <c r="O46" s="418"/>
      <c r="P46" s="418"/>
      <c r="Q46" s="45" t="s">
        <v>73</v>
      </c>
      <c r="R46" s="418" t="s">
        <v>71</v>
      </c>
      <c r="S46" s="418"/>
      <c r="T46" s="3">
        <v>11</v>
      </c>
      <c r="U46" s="3">
        <v>13</v>
      </c>
      <c r="V46" s="3">
        <v>13</v>
      </c>
      <c r="W46" s="3">
        <v>13</v>
      </c>
      <c r="X46" s="3">
        <v>13</v>
      </c>
      <c r="Y46" s="3">
        <v>0</v>
      </c>
    </row>
    <row r="47" spans="13:25" x14ac:dyDescent="0.4">
      <c r="M47" s="469"/>
      <c r="N47" s="418"/>
      <c r="O47" s="418"/>
      <c r="P47" s="418"/>
      <c r="Q47" s="45" t="s">
        <v>73</v>
      </c>
      <c r="R47" s="418" t="s">
        <v>72</v>
      </c>
      <c r="S47" s="418"/>
      <c r="T47" s="3">
        <v>12</v>
      </c>
      <c r="U47" s="3">
        <v>16</v>
      </c>
      <c r="V47" s="3">
        <v>16</v>
      </c>
      <c r="W47" s="3">
        <v>16</v>
      </c>
      <c r="X47" s="3">
        <v>16</v>
      </c>
      <c r="Y47" s="3">
        <v>0</v>
      </c>
    </row>
    <row r="48" spans="13:25" x14ac:dyDescent="0.4">
      <c r="M48" s="469" t="s">
        <v>73</v>
      </c>
      <c r="N48" s="418" t="s">
        <v>72</v>
      </c>
      <c r="O48" s="418"/>
      <c r="P48" s="418"/>
      <c r="Q48" s="45" t="s">
        <v>73</v>
      </c>
      <c r="R48" s="418" t="s">
        <v>69</v>
      </c>
      <c r="S48" s="418"/>
      <c r="T48" s="3">
        <v>13</v>
      </c>
      <c r="U48" s="3">
        <v>17</v>
      </c>
      <c r="V48" s="3">
        <v>17</v>
      </c>
      <c r="W48" s="3">
        <v>17</v>
      </c>
      <c r="X48" s="3">
        <v>17</v>
      </c>
      <c r="Y48" s="3">
        <v>0</v>
      </c>
    </row>
    <row r="49" spans="13:25" x14ac:dyDescent="0.4">
      <c r="M49" s="469"/>
      <c r="N49" s="418"/>
      <c r="O49" s="418"/>
      <c r="P49" s="418"/>
      <c r="Q49" s="45" t="s">
        <v>73</v>
      </c>
      <c r="R49" s="418" t="s">
        <v>70</v>
      </c>
      <c r="S49" s="418"/>
      <c r="T49" s="3">
        <v>14</v>
      </c>
      <c r="U49" s="3">
        <v>17</v>
      </c>
      <c r="V49" s="3">
        <v>17</v>
      </c>
      <c r="W49" s="3">
        <v>17</v>
      </c>
      <c r="X49" s="3">
        <v>17</v>
      </c>
      <c r="Y49" s="3">
        <v>0</v>
      </c>
    </row>
    <row r="50" spans="13:25" x14ac:dyDescent="0.4">
      <c r="M50" s="469"/>
      <c r="N50" s="418"/>
      <c r="O50" s="418"/>
      <c r="P50" s="418"/>
      <c r="Q50" s="45" t="s">
        <v>73</v>
      </c>
      <c r="R50" s="418" t="s">
        <v>71</v>
      </c>
      <c r="S50" s="418"/>
      <c r="T50" s="3">
        <v>15</v>
      </c>
      <c r="U50" s="3">
        <v>18</v>
      </c>
      <c r="V50" s="3">
        <v>18</v>
      </c>
      <c r="W50" s="3">
        <v>18</v>
      </c>
      <c r="X50" s="3">
        <v>18</v>
      </c>
      <c r="Y50" s="3">
        <v>0</v>
      </c>
    </row>
    <row r="51" spans="13:25" x14ac:dyDescent="0.4">
      <c r="M51" s="469"/>
      <c r="N51" s="418"/>
      <c r="O51" s="418"/>
      <c r="P51" s="418"/>
      <c r="Q51" s="45" t="s">
        <v>73</v>
      </c>
      <c r="R51" s="418" t="s">
        <v>72</v>
      </c>
      <c r="S51" s="418"/>
      <c r="T51" s="3">
        <v>16</v>
      </c>
      <c r="U51" s="3">
        <v>21</v>
      </c>
      <c r="V51" s="3">
        <v>21</v>
      </c>
      <c r="W51" s="3">
        <v>21</v>
      </c>
      <c r="X51" s="3">
        <v>21</v>
      </c>
      <c r="Y51" s="3">
        <v>0</v>
      </c>
    </row>
    <row r="52" spans="13:25" x14ac:dyDescent="0.4">
      <c r="N52" s="471" t="s">
        <v>74</v>
      </c>
      <c r="O52" s="471"/>
      <c r="P52" s="471"/>
      <c r="Q52" s="471"/>
      <c r="R52" s="471"/>
      <c r="S52" s="471"/>
      <c r="T52" s="471"/>
      <c r="U52" s="471"/>
      <c r="V52" s="202"/>
    </row>
    <row r="53" spans="13:25" x14ac:dyDescent="0.4">
      <c r="N53" s="471"/>
      <c r="O53" s="471"/>
      <c r="P53" s="471"/>
      <c r="Q53" s="471"/>
      <c r="R53" s="471"/>
      <c r="S53" s="471"/>
      <c r="T53" s="471"/>
      <c r="U53" s="471"/>
      <c r="V53" s="202"/>
    </row>
    <row r="54" spans="13:25" x14ac:dyDescent="0.4">
      <c r="N54" s="471"/>
      <c r="O54" s="471"/>
      <c r="P54" s="471"/>
      <c r="Q54" s="471"/>
      <c r="R54" s="471"/>
      <c r="S54" s="471"/>
      <c r="T54" s="471"/>
      <c r="U54" s="471"/>
      <c r="V54" s="202"/>
    </row>
  </sheetData>
  <sheetProtection algorithmName="SHA-512" hashValue="Stcdnyk9ASf3BNYcsJbJeJ6WCxJqw5S4Ee5JHciZQGUGiIg8BkCjPKc2Exxv1tXaYw3a6636uNHj1MAA3vGTHw==" saltValue="HX65I6qu0Y/ogFNDeqRXng==" spinCount="100000" sheet="1" objects="1" scenarios="1" selectLockedCells="1"/>
  <mergeCells count="52">
    <mergeCell ref="U4:Y4"/>
    <mergeCell ref="A4:B4"/>
    <mergeCell ref="A11:B11"/>
    <mergeCell ref="A30:B30"/>
    <mergeCell ref="N52:U54"/>
    <mergeCell ref="M48:M51"/>
    <mergeCell ref="N48:P51"/>
    <mergeCell ref="R48:S48"/>
    <mergeCell ref="R49:S49"/>
    <mergeCell ref="R50:S50"/>
    <mergeCell ref="R51:S51"/>
    <mergeCell ref="M44:M47"/>
    <mergeCell ref="N44:P47"/>
    <mergeCell ref="R44:S44"/>
    <mergeCell ref="R45:S45"/>
    <mergeCell ref="R46:S46"/>
    <mergeCell ref="R47:S47"/>
    <mergeCell ref="M40:M43"/>
    <mergeCell ref="N40:P43"/>
    <mergeCell ref="R40:S40"/>
    <mergeCell ref="R41:S41"/>
    <mergeCell ref="R42:S42"/>
    <mergeCell ref="R43:S43"/>
    <mergeCell ref="M35:P35"/>
    <mergeCell ref="Q35:S35"/>
    <mergeCell ref="M36:M39"/>
    <mergeCell ref="N36:P39"/>
    <mergeCell ref="R36:S36"/>
    <mergeCell ref="R37:S37"/>
    <mergeCell ref="R38:S38"/>
    <mergeCell ref="R39:S39"/>
    <mergeCell ref="N25:U29"/>
    <mergeCell ref="N31:U33"/>
    <mergeCell ref="M34:S34"/>
    <mergeCell ref="M19:M20"/>
    <mergeCell ref="N19:Q20"/>
    <mergeCell ref="M21:M22"/>
    <mergeCell ref="N21:Q22"/>
    <mergeCell ref="M23:M24"/>
    <mergeCell ref="N23:Q24"/>
    <mergeCell ref="M17:M18"/>
    <mergeCell ref="N17:Q18"/>
    <mergeCell ref="M5:S5"/>
    <mergeCell ref="N6:S6"/>
    <mergeCell ref="N7:S7"/>
    <mergeCell ref="N8:S8"/>
    <mergeCell ref="N9:S9"/>
    <mergeCell ref="M13:Q13"/>
    <mergeCell ref="R13:S13"/>
    <mergeCell ref="N14:Q14"/>
    <mergeCell ref="M15:M16"/>
    <mergeCell ref="N15:Q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37D9-A0C3-452F-9A45-676B8AA911BF}">
  <sheetPr>
    <tabColor rgb="FF00B050"/>
  </sheetPr>
  <dimension ref="A1:BD102"/>
  <sheetViews>
    <sheetView view="pageBreakPreview" topLeftCell="K1" zoomScaleNormal="100" zoomScaleSheetLayoutView="100" workbookViewId="0">
      <selection activeCell="K20" sqref="K20"/>
    </sheetView>
  </sheetViews>
  <sheetFormatPr defaultRowHeight="18.75" x14ac:dyDescent="0.4"/>
  <cols>
    <col min="1" max="10" width="8.625" style="125" hidden="1" customWidth="1"/>
    <col min="11" max="11" width="8.625" style="125" customWidth="1"/>
    <col min="12" max="36" width="3.125" style="88" customWidth="1"/>
    <col min="37" max="38" width="3.125" style="88" hidden="1" customWidth="1"/>
    <col min="39" max="39" width="3.125" style="88" customWidth="1"/>
    <col min="40" max="43" width="8.625" style="88" customWidth="1"/>
    <col min="44" max="56" width="8.625" style="88" hidden="1" customWidth="1"/>
    <col min="57" max="83" width="8.625" style="88" customWidth="1"/>
    <col min="84" max="99" width="3.125" style="88" customWidth="1"/>
    <col min="100" max="16384" width="9" style="88"/>
  </cols>
  <sheetData>
    <row r="1" spans="1:56" x14ac:dyDescent="0.4">
      <c r="L1" s="88" t="str">
        <f>外皮性能表紙!J1</f>
        <v>Ver1.2</v>
      </c>
      <c r="AF1" s="261" t="str">
        <f>外皮性能表紙!AD1</f>
        <v>2022 年 4 月版</v>
      </c>
      <c r="AG1" s="262"/>
      <c r="AH1" s="262"/>
      <c r="AI1" s="262"/>
      <c r="AJ1" s="262"/>
    </row>
    <row r="2" spans="1:56" ht="7.5" customHeight="1" x14ac:dyDescent="0.4"/>
    <row r="3" spans="1:56" x14ac:dyDescent="0.4">
      <c r="AF3" s="89" t="s">
        <v>106</v>
      </c>
      <c r="AG3" s="90">
        <f>外皮性能表紙!AE3</f>
        <v>4</v>
      </c>
      <c r="AH3" s="263" t="s">
        <v>105</v>
      </c>
      <c r="AI3" s="263"/>
      <c r="AJ3" s="90">
        <f>C15</f>
        <v>1</v>
      </c>
    </row>
    <row r="4" spans="1:56" x14ac:dyDescent="0.4">
      <c r="L4" s="264" t="s">
        <v>107</v>
      </c>
      <c r="M4" s="264"/>
      <c r="N4" s="264"/>
      <c r="O4" s="261"/>
      <c r="P4" s="261"/>
      <c r="Q4" s="261"/>
      <c r="R4" s="91" t="s">
        <v>101</v>
      </c>
      <c r="S4" s="92"/>
      <c r="T4" s="93" t="s">
        <v>102</v>
      </c>
      <c r="U4" s="92"/>
      <c r="V4" s="93" t="s">
        <v>103</v>
      </c>
    </row>
    <row r="5" spans="1:56" ht="13.5" customHeight="1" thickBot="1" x14ac:dyDescent="0.45"/>
    <row r="6" spans="1:56" ht="30" customHeight="1" x14ac:dyDescent="0.4">
      <c r="L6" s="386" t="s">
        <v>0</v>
      </c>
      <c r="M6" s="387"/>
      <c r="N6" s="387"/>
      <c r="O6" s="387"/>
      <c r="P6" s="387"/>
      <c r="Q6" s="387"/>
      <c r="R6" s="387"/>
      <c r="S6" s="387"/>
      <c r="T6" s="387"/>
      <c r="U6" s="387"/>
      <c r="V6" s="387"/>
      <c r="W6" s="387"/>
      <c r="X6" s="387"/>
      <c r="Y6" s="387"/>
      <c r="Z6" s="387"/>
      <c r="AA6" s="387"/>
      <c r="AB6" s="387"/>
      <c r="AC6" s="387"/>
      <c r="AD6" s="387"/>
      <c r="AE6" s="387"/>
      <c r="AF6" s="387"/>
      <c r="AG6" s="387"/>
      <c r="AH6" s="387"/>
      <c r="AI6" s="387"/>
      <c r="AJ6" s="388"/>
    </row>
    <row r="7" spans="1:56" ht="30" customHeight="1" thickBot="1" x14ac:dyDescent="0.45">
      <c r="L7" s="383" t="s">
        <v>86</v>
      </c>
      <c r="M7" s="384"/>
      <c r="N7" s="384"/>
      <c r="O7" s="384"/>
      <c r="P7" s="384"/>
      <c r="Q7" s="384"/>
      <c r="R7" s="384"/>
      <c r="S7" s="384"/>
      <c r="T7" s="384"/>
      <c r="U7" s="384"/>
      <c r="V7" s="384"/>
      <c r="W7" s="384"/>
      <c r="X7" s="384"/>
      <c r="Y7" s="384"/>
      <c r="Z7" s="384"/>
      <c r="AA7" s="384"/>
      <c r="AB7" s="384"/>
      <c r="AC7" s="384"/>
      <c r="AD7" s="384"/>
      <c r="AE7" s="384"/>
      <c r="AF7" s="384"/>
      <c r="AG7" s="384"/>
      <c r="AH7" s="384"/>
      <c r="AI7" s="384"/>
      <c r="AJ7" s="385"/>
    </row>
    <row r="9" spans="1:56" x14ac:dyDescent="0.4">
      <c r="L9" s="269" t="s">
        <v>3</v>
      </c>
      <c r="M9" s="269"/>
      <c r="N9" s="269"/>
      <c r="O9" s="269"/>
      <c r="P9" s="269"/>
      <c r="Q9" s="269"/>
      <c r="R9" s="269"/>
      <c r="S9" s="269"/>
      <c r="T9" s="269"/>
      <c r="U9" s="389" t="str">
        <f>IF(外皮性能表紙!S9="","",外皮性能表紙!S9)</f>
        <v/>
      </c>
      <c r="V9" s="389"/>
      <c r="W9" s="389"/>
      <c r="X9" s="389"/>
      <c r="Y9" s="389"/>
      <c r="Z9" s="389"/>
      <c r="AA9" s="389"/>
      <c r="AB9" s="389"/>
      <c r="AC9" s="389"/>
      <c r="AD9" s="389"/>
      <c r="AE9" s="389"/>
      <c r="AF9" s="389"/>
      <c r="AG9" s="389"/>
      <c r="AH9" s="389"/>
      <c r="AI9" s="389"/>
      <c r="AJ9" s="389"/>
    </row>
    <row r="10" spans="1:56" ht="19.5" thickBot="1" x14ac:dyDescent="0.45">
      <c r="L10" s="269" t="s">
        <v>4</v>
      </c>
      <c r="M10" s="269"/>
      <c r="N10" s="269"/>
      <c r="O10" s="269"/>
      <c r="P10" s="269"/>
      <c r="Q10" s="269"/>
      <c r="R10" s="269"/>
      <c r="S10" s="269"/>
      <c r="T10" s="269"/>
      <c r="U10" s="389" t="str">
        <f>IF(外皮性能表紙!S10="","",外皮性能表紙!S10)</f>
        <v/>
      </c>
      <c r="V10" s="389"/>
      <c r="W10" s="389"/>
      <c r="X10" s="389"/>
      <c r="Y10" s="389"/>
      <c r="Z10" s="389"/>
      <c r="AA10" s="389"/>
      <c r="AB10" s="389"/>
      <c r="AC10" s="389"/>
      <c r="AD10" s="389"/>
      <c r="AE10" s="389"/>
      <c r="AF10" s="389"/>
      <c r="AG10" s="389"/>
      <c r="AH10" s="389"/>
      <c r="AI10" s="389"/>
      <c r="AJ10" s="389"/>
    </row>
    <row r="11" spans="1:56" x14ac:dyDescent="0.4">
      <c r="L11" s="269" t="s">
        <v>5</v>
      </c>
      <c r="M11" s="269"/>
      <c r="N11" s="269"/>
      <c r="O11" s="269"/>
      <c r="P11" s="269"/>
      <c r="Q11" s="269"/>
      <c r="R11" s="269"/>
      <c r="S11" s="269"/>
      <c r="T11" s="269"/>
      <c r="U11" s="389" t="str">
        <f>IF(外皮性能表紙!S11="","",外皮性能表紙!S11)</f>
        <v/>
      </c>
      <c r="V11" s="389"/>
      <c r="W11" s="389"/>
      <c r="X11" s="389"/>
      <c r="Y11" s="389"/>
      <c r="Z11" s="389"/>
      <c r="AA11" s="389"/>
      <c r="AB11" s="389"/>
      <c r="AC11" s="389"/>
      <c r="AD11" s="389"/>
      <c r="AE11" s="389"/>
      <c r="AF11" s="389"/>
      <c r="AG11" s="389"/>
      <c r="AH11" s="389"/>
      <c r="AI11" s="389"/>
      <c r="AJ11" s="389"/>
      <c r="AR11" s="222" t="s">
        <v>300</v>
      </c>
      <c r="AS11" s="228">
        <f>IF(OR(AR13=0,AR14=0,AR15=0,AR16=0),3,1)</f>
        <v>1</v>
      </c>
      <c r="AT11" s="223"/>
      <c r="AU11" s="223"/>
      <c r="AV11" s="223"/>
      <c r="AW11" s="223"/>
      <c r="AX11" s="223"/>
      <c r="AY11" s="223"/>
      <c r="AZ11" s="223"/>
      <c r="BA11" s="414" t="s">
        <v>318</v>
      </c>
      <c r="BB11" s="415"/>
      <c r="BC11" s="415"/>
      <c r="BD11" s="230"/>
    </row>
    <row r="12" spans="1:56" x14ac:dyDescent="0.4">
      <c r="AR12" s="224" t="s">
        <v>301</v>
      </c>
      <c r="AS12" s="95" t="s">
        <v>294</v>
      </c>
      <c r="AT12" s="95" t="s">
        <v>302</v>
      </c>
      <c r="AU12" s="95"/>
      <c r="AV12" s="95"/>
      <c r="AW12" s="95"/>
      <c r="AX12" s="95"/>
      <c r="AY12" s="95"/>
      <c r="AZ12" s="95"/>
      <c r="BA12" s="224"/>
      <c r="BB12" s="95"/>
      <c r="BC12" s="95"/>
      <c r="BD12" s="233">
        <f>IF(Y13=4,BD13,IF(Y13=5,BD14,IF(Y13=6,BD15,IF(Y13=7,BD16))))</f>
        <v>1</v>
      </c>
    </row>
    <row r="13" spans="1:56" x14ac:dyDescent="0.4">
      <c r="F13" s="236" t="s">
        <v>291</v>
      </c>
      <c r="G13" s="356" t="s">
        <v>290</v>
      </c>
      <c r="H13" s="356"/>
      <c r="I13" s="356"/>
      <c r="J13" s="356"/>
      <c r="L13" s="269" t="s">
        <v>6</v>
      </c>
      <c r="M13" s="269"/>
      <c r="N13" s="269"/>
      <c r="O13" s="269"/>
      <c r="P13" s="269"/>
      <c r="Q13" s="269"/>
      <c r="R13" s="269"/>
      <c r="S13" s="269"/>
      <c r="T13" s="269"/>
      <c r="U13" s="94"/>
      <c r="V13" s="95"/>
      <c r="W13" s="95"/>
      <c r="X13" s="95"/>
      <c r="Y13" s="292">
        <f>外皮性能表紙!A14</f>
        <v>4</v>
      </c>
      <c r="Z13" s="292"/>
      <c r="AA13" s="95" t="s">
        <v>188</v>
      </c>
      <c r="AB13" s="95"/>
      <c r="AC13" s="95"/>
      <c r="AD13" s="95"/>
      <c r="AE13" s="95"/>
      <c r="AF13" s="95"/>
      <c r="AG13" s="95"/>
      <c r="AH13" s="95"/>
      <c r="AI13" s="95"/>
      <c r="AJ13" s="96"/>
      <c r="AR13" s="226">
        <f>'4地域_外皮性能と冷房設備'!G7</f>
        <v>1</v>
      </c>
      <c r="AS13" s="95" t="s">
        <v>297</v>
      </c>
      <c r="AT13" s="95" t="s">
        <v>306</v>
      </c>
      <c r="AU13" s="95"/>
      <c r="AV13" s="95"/>
      <c r="AW13" s="95"/>
      <c r="AX13" s="95"/>
      <c r="AY13" s="95"/>
      <c r="AZ13" s="95"/>
      <c r="BA13" s="234">
        <v>1.7</v>
      </c>
      <c r="BB13" s="95" t="s">
        <v>317</v>
      </c>
      <c r="BC13" s="95" t="s">
        <v>204</v>
      </c>
      <c r="BD13" s="231">
        <f>IF(AE22&lt;BA13,0,1)</f>
        <v>1</v>
      </c>
    </row>
    <row r="14" spans="1:56" x14ac:dyDescent="0.4">
      <c r="A14" s="137" t="s">
        <v>294</v>
      </c>
      <c r="B14" s="136"/>
      <c r="C14" s="139">
        <f>外皮性能表紙!A14</f>
        <v>4</v>
      </c>
      <c r="F14" s="357">
        <v>1</v>
      </c>
      <c r="G14" s="137" t="s">
        <v>286</v>
      </c>
      <c r="H14" s="138"/>
      <c r="I14" s="138"/>
      <c r="J14" s="139"/>
      <c r="U14" s="393" t="str">
        <f>IF(V16="","暖房設備を選択してください","")</f>
        <v/>
      </c>
      <c r="V14" s="393"/>
      <c r="W14" s="393"/>
      <c r="X14" s="393"/>
      <c r="Y14" s="393"/>
      <c r="Z14" s="393"/>
      <c r="AA14" s="393"/>
      <c r="AB14" s="393"/>
      <c r="AC14" s="393"/>
      <c r="AD14" s="393"/>
      <c r="AE14" s="393"/>
      <c r="AF14" s="393"/>
      <c r="AG14" s="393"/>
      <c r="AH14" s="393"/>
      <c r="AI14" s="393"/>
      <c r="AJ14" s="393"/>
      <c r="AR14" s="226">
        <f>'5地域_外皮性能と冷房設備'!G7</f>
        <v>1</v>
      </c>
      <c r="AS14" s="95" t="s">
        <v>295</v>
      </c>
      <c r="AT14" s="95" t="s">
        <v>307</v>
      </c>
      <c r="AU14" s="95"/>
      <c r="AV14" s="95"/>
      <c r="AW14" s="95"/>
      <c r="AX14" s="95"/>
      <c r="AY14" s="95"/>
      <c r="AZ14" s="95"/>
      <c r="BA14" s="234">
        <v>2</v>
      </c>
      <c r="BB14" s="95" t="s">
        <v>317</v>
      </c>
      <c r="BC14" s="95" t="s">
        <v>204</v>
      </c>
      <c r="BD14" s="231">
        <f>IF(AE22&lt;BA14,0,1)</f>
        <v>1</v>
      </c>
    </row>
    <row r="15" spans="1:56" x14ac:dyDescent="0.4">
      <c r="A15" s="236" t="s">
        <v>254</v>
      </c>
      <c r="B15" s="236"/>
      <c r="C15" s="136">
        <f>data!H19</f>
        <v>1</v>
      </c>
      <c r="F15" s="357"/>
      <c r="G15" s="137" t="s">
        <v>286</v>
      </c>
      <c r="H15" s="138"/>
      <c r="I15" s="138"/>
      <c r="J15" s="139"/>
      <c r="L15" s="300" t="s">
        <v>32</v>
      </c>
      <c r="M15" s="301"/>
      <c r="N15" s="301"/>
      <c r="O15" s="302"/>
      <c r="P15" s="269" t="s">
        <v>30</v>
      </c>
      <c r="Q15" s="269"/>
      <c r="R15" s="269"/>
      <c r="S15" s="269"/>
      <c r="T15" s="269"/>
      <c r="U15" s="145"/>
      <c r="V15" s="376" t="s">
        <v>319</v>
      </c>
      <c r="W15" s="376"/>
      <c r="X15" s="376"/>
      <c r="Y15" s="376"/>
      <c r="Z15" s="376"/>
      <c r="AA15" s="376"/>
      <c r="AB15" s="376"/>
      <c r="AC15" s="376"/>
      <c r="AD15" s="376"/>
      <c r="AE15" s="376"/>
      <c r="AF15" s="376"/>
      <c r="AG15" s="376"/>
      <c r="AH15" s="376"/>
      <c r="AI15" s="376"/>
      <c r="AJ15" s="146"/>
      <c r="AR15" s="226">
        <f>'6地域_外皮性能と冷房設備'!G7</f>
        <v>1</v>
      </c>
      <c r="AS15" s="95" t="s">
        <v>296</v>
      </c>
      <c r="AT15" s="95" t="s">
        <v>308</v>
      </c>
      <c r="AU15" s="95"/>
      <c r="AV15" s="95"/>
      <c r="AW15" s="95"/>
      <c r="AX15" s="95"/>
      <c r="AY15" s="95"/>
      <c r="AZ15" s="95"/>
      <c r="BA15" s="234">
        <v>1.8</v>
      </c>
      <c r="BB15" s="95" t="s">
        <v>317</v>
      </c>
      <c r="BC15" s="95" t="s">
        <v>204</v>
      </c>
      <c r="BD15" s="231">
        <f>IF(AE22&lt;BA15,0,1)</f>
        <v>1</v>
      </c>
    </row>
    <row r="16" spans="1:56" ht="19.5" thickBot="1" x14ac:dyDescent="0.45">
      <c r="F16" s="357">
        <v>2</v>
      </c>
      <c r="G16" s="137" t="s">
        <v>285</v>
      </c>
      <c r="H16" s="138"/>
      <c r="I16" s="138"/>
      <c r="J16" s="139"/>
      <c r="L16" s="303"/>
      <c r="M16" s="304"/>
      <c r="N16" s="304"/>
      <c r="O16" s="305"/>
      <c r="P16" s="269" t="s">
        <v>31</v>
      </c>
      <c r="Q16" s="269"/>
      <c r="R16" s="269"/>
      <c r="S16" s="269"/>
      <c r="T16" s="269"/>
      <c r="U16" s="145"/>
      <c r="V16" s="377" t="str">
        <f>data!L19</f>
        <v>設置なし</v>
      </c>
      <c r="W16" s="377"/>
      <c r="X16" s="377"/>
      <c r="Y16" s="377"/>
      <c r="Z16" s="377"/>
      <c r="AA16" s="377"/>
      <c r="AB16" s="377"/>
      <c r="AC16" s="377"/>
      <c r="AD16" s="377"/>
      <c r="AE16" s="377"/>
      <c r="AF16" s="377"/>
      <c r="AG16" s="377"/>
      <c r="AH16" s="377"/>
      <c r="AI16" s="377"/>
      <c r="AJ16" s="146"/>
      <c r="AR16" s="227">
        <f>'7地域_外皮性能と冷房設備'!G7</f>
        <v>1</v>
      </c>
      <c r="AS16" s="225" t="s">
        <v>298</v>
      </c>
      <c r="AT16" s="225" t="s">
        <v>309</v>
      </c>
      <c r="AU16" s="225"/>
      <c r="AV16" s="225"/>
      <c r="AW16" s="225"/>
      <c r="AX16" s="225"/>
      <c r="AY16" s="225"/>
      <c r="AZ16" s="225"/>
      <c r="BA16" s="235">
        <v>2.1</v>
      </c>
      <c r="BB16" s="225" t="s">
        <v>317</v>
      </c>
      <c r="BC16" s="225" t="s">
        <v>204</v>
      </c>
      <c r="BD16" s="232">
        <f>IF(AE22&lt;BA16,0,1)</f>
        <v>1</v>
      </c>
    </row>
    <row r="17" spans="1:56" x14ac:dyDescent="0.4">
      <c r="F17" s="357"/>
      <c r="G17" s="137" t="s">
        <v>285</v>
      </c>
      <c r="H17" s="138"/>
      <c r="I17" s="138"/>
      <c r="J17" s="139"/>
      <c r="P17" s="394" t="str">
        <f>IF(C14=4,IF(OR(C15=4,C15=5),"※床暖房場合は、床の熱貫流率(UA値)0.48 W/㎡・ K 以下の場合に限ります。",""),IF(OR(C14=5,C14=6,C14=7),IF(OR(C15=3,C15=4),"※床暖房場合は、床の熱貫流率(UA値)0.48 W/㎡・ K 以下の場合に限ります。","")))</f>
        <v/>
      </c>
      <c r="Q17" s="394"/>
      <c r="R17" s="394"/>
      <c r="S17" s="394"/>
      <c r="T17" s="394"/>
      <c r="U17" s="394"/>
      <c r="V17" s="394"/>
      <c r="W17" s="394"/>
      <c r="X17" s="394"/>
      <c r="Y17" s="394"/>
      <c r="Z17" s="394"/>
      <c r="AA17" s="394"/>
      <c r="AB17" s="394"/>
      <c r="AC17" s="394"/>
      <c r="AD17" s="394"/>
      <c r="AE17" s="394"/>
      <c r="AF17" s="394"/>
      <c r="AG17" s="394"/>
      <c r="AH17" s="394"/>
      <c r="AI17" s="394"/>
      <c r="AJ17" s="394"/>
      <c r="AR17" s="222" t="s">
        <v>299</v>
      </c>
      <c r="AS17" s="228">
        <f>IF(OR(AR19=0,AR20=0,AR21=0,AR22=0),3,1)</f>
        <v>1</v>
      </c>
      <c r="AT17" s="223"/>
      <c r="AU17" s="223"/>
      <c r="AV17" s="223"/>
      <c r="AW17" s="223"/>
      <c r="AX17" s="223"/>
      <c r="AY17" s="223"/>
      <c r="AZ17" s="223"/>
      <c r="BA17" s="414" t="s">
        <v>318</v>
      </c>
      <c r="BB17" s="415"/>
      <c r="BC17" s="415"/>
      <c r="BD17" s="230"/>
    </row>
    <row r="18" spans="1:56" x14ac:dyDescent="0.4">
      <c r="F18" s="357">
        <v>3</v>
      </c>
      <c r="G18" s="137" t="s">
        <v>287</v>
      </c>
      <c r="H18" s="138"/>
      <c r="I18" s="138"/>
      <c r="J18" s="139"/>
      <c r="L18" s="103" t="s">
        <v>264</v>
      </c>
      <c r="AR18" s="224" t="s">
        <v>301</v>
      </c>
      <c r="AS18" s="95" t="s">
        <v>294</v>
      </c>
      <c r="AT18" s="95" t="s">
        <v>302</v>
      </c>
      <c r="AU18" s="95"/>
      <c r="AV18" s="95"/>
      <c r="AW18" s="95"/>
      <c r="AX18" s="95"/>
      <c r="AY18" s="95"/>
      <c r="AZ18" s="95"/>
      <c r="BA18" s="234"/>
      <c r="BB18" s="95"/>
      <c r="BC18" s="95"/>
      <c r="BD18" s="233">
        <f>IF(Y13=4,BD19,IF(Y13=5,BD20,IF(Y13=6,BD21,IF(Y13=7,BD22))))</f>
        <v>1</v>
      </c>
    </row>
    <row r="19" spans="1:56" x14ac:dyDescent="0.4">
      <c r="F19" s="357"/>
      <c r="G19" s="137" t="s">
        <v>287</v>
      </c>
      <c r="H19" s="138"/>
      <c r="I19" s="138"/>
      <c r="J19" s="139"/>
      <c r="AI19" s="89"/>
      <c r="AR19" s="226">
        <f>'4地域_外皮性能と冷房設備'!G8</f>
        <v>1</v>
      </c>
      <c r="AS19" s="95" t="s">
        <v>297</v>
      </c>
      <c r="AT19" s="95" t="s">
        <v>303</v>
      </c>
      <c r="AU19" s="95"/>
      <c r="AV19" s="95"/>
      <c r="AW19" s="95"/>
      <c r="AX19" s="95"/>
      <c r="AY19" s="95"/>
      <c r="AZ19" s="95"/>
      <c r="BA19" s="234">
        <v>4.2</v>
      </c>
      <c r="BB19" s="95" t="s">
        <v>46</v>
      </c>
      <c r="BC19" s="95" t="s">
        <v>203</v>
      </c>
      <c r="BD19" s="231">
        <f>IF(AE21&gt;BA19,0,1)</f>
        <v>1</v>
      </c>
    </row>
    <row r="20" spans="1:56" ht="27" customHeight="1" x14ac:dyDescent="0.4">
      <c r="F20" s="357">
        <v>4</v>
      </c>
      <c r="G20" s="137" t="s">
        <v>288</v>
      </c>
      <c r="H20" s="138"/>
      <c r="I20" s="138"/>
      <c r="J20" s="139"/>
      <c r="L20" s="94" t="s">
        <v>88</v>
      </c>
      <c r="M20" s="95"/>
      <c r="N20" s="95"/>
      <c r="O20" s="95"/>
      <c r="P20" s="95"/>
      <c r="Q20" s="95"/>
      <c r="R20" s="95"/>
      <c r="S20" s="95"/>
      <c r="T20" s="95"/>
      <c r="U20" s="95"/>
      <c r="V20" s="95"/>
      <c r="W20" s="95"/>
      <c r="X20" s="95"/>
      <c r="Y20" s="95"/>
      <c r="Z20" s="95"/>
      <c r="AA20" s="95"/>
      <c r="AB20" s="95"/>
      <c r="AC20" s="95"/>
      <c r="AD20" s="95"/>
      <c r="AE20" s="370">
        <f>外皮性能表紙!U38</f>
        <v>0.64</v>
      </c>
      <c r="AF20" s="371"/>
      <c r="AG20" s="371"/>
      <c r="AH20" s="371"/>
      <c r="AI20" s="372"/>
      <c r="AR20" s="226">
        <f>'5地域_外皮性能と冷房設備'!G8</f>
        <v>1</v>
      </c>
      <c r="AS20" s="95" t="s">
        <v>295</v>
      </c>
      <c r="AT20" s="95" t="s">
        <v>304</v>
      </c>
      <c r="AU20" s="95"/>
      <c r="AV20" s="95"/>
      <c r="AW20" s="95"/>
      <c r="AX20" s="95"/>
      <c r="AY20" s="95"/>
      <c r="AZ20" s="95"/>
      <c r="BA20" s="234">
        <v>4.5</v>
      </c>
      <c r="BB20" s="95" t="s">
        <v>46</v>
      </c>
      <c r="BC20" s="95" t="s">
        <v>203</v>
      </c>
      <c r="BD20" s="231">
        <f>IF(AE21&gt;BA20,0,1)</f>
        <v>1</v>
      </c>
    </row>
    <row r="21" spans="1:56" ht="27" customHeight="1" x14ac:dyDescent="0.4">
      <c r="F21" s="357"/>
      <c r="G21" s="137" t="s">
        <v>287</v>
      </c>
      <c r="H21" s="138"/>
      <c r="I21" s="138"/>
      <c r="J21" s="139"/>
      <c r="L21" s="94" t="s">
        <v>89</v>
      </c>
      <c r="M21" s="95"/>
      <c r="N21" s="95"/>
      <c r="O21" s="95"/>
      <c r="P21" s="95"/>
      <c r="Q21" s="95"/>
      <c r="R21" s="95"/>
      <c r="S21" s="95"/>
      <c r="T21" s="95"/>
      <c r="U21" s="95"/>
      <c r="V21" s="95"/>
      <c r="W21" s="95"/>
      <c r="X21" s="95"/>
      <c r="Y21" s="95"/>
      <c r="Z21" s="95"/>
      <c r="AA21" s="95"/>
      <c r="AB21" s="95"/>
      <c r="AC21" s="95"/>
      <c r="AD21" s="95"/>
      <c r="AE21" s="373">
        <f>外皮性能表紙!U59</f>
        <v>2.2000000000000002</v>
      </c>
      <c r="AF21" s="374"/>
      <c r="AG21" s="374"/>
      <c r="AH21" s="374"/>
      <c r="AI21" s="375"/>
      <c r="AR21" s="226">
        <f>'6地域_外皮性能と冷房設備'!G8</f>
        <v>1</v>
      </c>
      <c r="AS21" s="95" t="s">
        <v>296</v>
      </c>
      <c r="AT21" s="95" t="s">
        <v>305</v>
      </c>
      <c r="AU21" s="95"/>
      <c r="AV21" s="95"/>
      <c r="AW21" s="95"/>
      <c r="AX21" s="95"/>
      <c r="AY21" s="95"/>
      <c r="AZ21" s="95"/>
      <c r="BA21" s="234">
        <v>4.3</v>
      </c>
      <c r="BB21" s="95" t="s">
        <v>46</v>
      </c>
      <c r="BC21" s="95" t="s">
        <v>203</v>
      </c>
      <c r="BD21" s="231">
        <f>IF(AE21&gt;BA21,0,1)</f>
        <v>1</v>
      </c>
    </row>
    <row r="22" spans="1:56" ht="27" customHeight="1" thickBot="1" x14ac:dyDescent="0.45">
      <c r="F22" s="357">
        <v>5</v>
      </c>
      <c r="G22" s="137" t="s">
        <v>289</v>
      </c>
      <c r="H22" s="138"/>
      <c r="I22" s="138"/>
      <c r="J22" s="139"/>
      <c r="L22" s="94" t="s">
        <v>90</v>
      </c>
      <c r="M22" s="95"/>
      <c r="N22" s="95"/>
      <c r="O22" s="95"/>
      <c r="P22" s="95"/>
      <c r="Q22" s="95"/>
      <c r="R22" s="95"/>
      <c r="S22" s="95"/>
      <c r="T22" s="95"/>
      <c r="U22" s="95"/>
      <c r="V22" s="95"/>
      <c r="W22" s="95"/>
      <c r="X22" s="95"/>
      <c r="Y22" s="95"/>
      <c r="Z22" s="95"/>
      <c r="AA22" s="95"/>
      <c r="AB22" s="95"/>
      <c r="AC22" s="95"/>
      <c r="AD22" s="95"/>
      <c r="AE22" s="373">
        <f>外皮性能表紙!AD77</f>
        <v>2.1</v>
      </c>
      <c r="AF22" s="374"/>
      <c r="AG22" s="374"/>
      <c r="AH22" s="374"/>
      <c r="AI22" s="375"/>
      <c r="AR22" s="227">
        <f>'7地域_外皮性能と冷房設備'!G8</f>
        <v>1</v>
      </c>
      <c r="AS22" s="225" t="s">
        <v>298</v>
      </c>
      <c r="AT22" s="225" t="s">
        <v>303</v>
      </c>
      <c r="AU22" s="225"/>
      <c r="AV22" s="225"/>
      <c r="AW22" s="225"/>
      <c r="AX22" s="225"/>
      <c r="AY22" s="225"/>
      <c r="AZ22" s="225"/>
      <c r="BA22" s="235">
        <v>4.2</v>
      </c>
      <c r="BB22" s="225" t="s">
        <v>46</v>
      </c>
      <c r="BC22" s="225" t="s">
        <v>203</v>
      </c>
      <c r="BD22" s="232">
        <f>IF(AE21&gt;BA22,0,1)</f>
        <v>1</v>
      </c>
    </row>
    <row r="23" spans="1:56" x14ac:dyDescent="0.4">
      <c r="F23" s="357"/>
      <c r="G23" s="137" t="s">
        <v>287</v>
      </c>
      <c r="H23" s="138"/>
      <c r="I23" s="138"/>
      <c r="J23" s="139"/>
      <c r="L23" s="395" t="str">
        <f>IF(AND(C14=4,AE22&lt;BA13),AT13,IF(AND(C14=5,AE22&lt;BA14),AT14,IF(AND(C14=6,AE22&lt;BA15),AT15,IF(AND(C14=7,AE22&lt;BA16),AT16,""))))</f>
        <v/>
      </c>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R23" s="88" t="s">
        <v>313</v>
      </c>
    </row>
    <row r="24" spans="1:56" x14ac:dyDescent="0.4">
      <c r="F24" s="124"/>
      <c r="L24" s="395" t="str">
        <f>IF(AND(C14=4,AE21&gt;BA19),AT19,IF(AND(C14=5,AE21&gt;BA20),AT20,IF(AND(C14=6,AE21&gt;BA21),AT21,IF(AND(C14=7,AE21&gt;BA22),AT22,""))))</f>
        <v/>
      </c>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R24" s="220">
        <f>IF(OR(AR25=3,AR26=3,AR27=3,AR28=3),3,1)</f>
        <v>1</v>
      </c>
      <c r="AT24" s="88" t="s">
        <v>312</v>
      </c>
    </row>
    <row r="25" spans="1:56" ht="18.75" customHeight="1" x14ac:dyDescent="0.4">
      <c r="L25" s="403" t="str">
        <f>IF(AR24=3,AT26,"")</f>
        <v/>
      </c>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R25" s="226">
        <f>IF(C14=4,IF(AE20&lt;0.6,3,1),0)</f>
        <v>1</v>
      </c>
      <c r="AS25" s="95" t="s">
        <v>297</v>
      </c>
      <c r="AT25" s="88" t="s">
        <v>314</v>
      </c>
    </row>
    <row r="26" spans="1:56" ht="19.5" thickBot="1" x14ac:dyDescent="0.45">
      <c r="A26" s="136"/>
      <c r="B26" s="136"/>
      <c r="C26" s="357" t="s">
        <v>279</v>
      </c>
      <c r="D26" s="357"/>
      <c r="E26" s="357"/>
      <c r="F26" s="357"/>
      <c r="G26" s="357"/>
      <c r="H26" s="357"/>
      <c r="I26" s="378"/>
      <c r="J26" s="136" t="s">
        <v>301</v>
      </c>
      <c r="L26" s="229" t="s">
        <v>315</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R26" s="226">
        <f>IF(C14=5,IF(AE20&lt;0.6,3,1),0)</f>
        <v>0</v>
      </c>
      <c r="AS26" s="95" t="s">
        <v>295</v>
      </c>
      <c r="AT26" s="88" t="s">
        <v>316</v>
      </c>
    </row>
    <row r="27" spans="1:56" ht="19.5" thickBot="1" x14ac:dyDescent="0.45">
      <c r="A27" s="136" t="s">
        <v>278</v>
      </c>
      <c r="B27" s="136"/>
      <c r="C27" s="136"/>
      <c r="D27" s="136"/>
      <c r="E27" s="137">
        <v>4</v>
      </c>
      <c r="F27" s="136">
        <v>5</v>
      </c>
      <c r="G27" s="136">
        <v>6</v>
      </c>
      <c r="H27" s="137">
        <v>7</v>
      </c>
      <c r="I27" s="237">
        <f>外皮性能表紙!A14</f>
        <v>4</v>
      </c>
      <c r="J27" s="136"/>
      <c r="AI27" s="89" t="s">
        <v>91</v>
      </c>
      <c r="AR27" s="226">
        <f>IF(C14=6,IF(AE20&lt;0.6,3,1),0)</f>
        <v>0</v>
      </c>
      <c r="AS27" s="95" t="s">
        <v>296</v>
      </c>
    </row>
    <row r="28" spans="1:56" ht="27" customHeight="1" thickBot="1" x14ac:dyDescent="0.45">
      <c r="A28" s="236" t="s">
        <v>249</v>
      </c>
      <c r="B28" s="236"/>
      <c r="C28" s="136"/>
      <c r="D28" s="136"/>
      <c r="E28" s="137">
        <f>'4地域_外皮性能と冷房設備'!G9</f>
        <v>48</v>
      </c>
      <c r="F28" s="136">
        <f>'5地域_外皮性能と冷房設備'!G9</f>
        <v>33</v>
      </c>
      <c r="G28" s="136">
        <f>'6地域_外皮性能と冷房設備'!G9</f>
        <v>26</v>
      </c>
      <c r="H28" s="137">
        <f>'7地域_外皮性能と冷房設備'!G9</f>
        <v>16</v>
      </c>
      <c r="I28" s="238">
        <f>INDEX(B28:H32,1,I27)</f>
        <v>48</v>
      </c>
      <c r="J28" s="136">
        <f>IF(I28=0,0,1)</f>
        <v>1</v>
      </c>
      <c r="L28" s="402" t="str">
        <f>IF(OR(AR24=3,BD12=0,BD18=0),AT25,"")</f>
        <v/>
      </c>
      <c r="M28" s="402"/>
      <c r="N28" s="402"/>
      <c r="O28" s="402"/>
      <c r="P28" s="402"/>
      <c r="Q28" s="402"/>
      <c r="R28" s="402"/>
      <c r="S28" s="402"/>
      <c r="T28" s="402"/>
      <c r="U28" s="88" t="s">
        <v>35</v>
      </c>
      <c r="AD28" s="88" t="s">
        <v>95</v>
      </c>
      <c r="AE28" s="367">
        <f>IF(I28=0,"該当なし",I28)</f>
        <v>48</v>
      </c>
      <c r="AF28" s="368"/>
      <c r="AG28" s="368"/>
      <c r="AH28" s="368"/>
      <c r="AI28" s="369"/>
      <c r="AJ28" s="91" t="s">
        <v>96</v>
      </c>
      <c r="AR28" s="227">
        <f>IF(C14=7,IF(AE20&lt;0.6,3,1),0)</f>
        <v>0</v>
      </c>
      <c r="AS28" s="225" t="s">
        <v>298</v>
      </c>
    </row>
    <row r="29" spans="1:56" ht="27" customHeight="1" thickBot="1" x14ac:dyDescent="0.45">
      <c r="A29" s="236" t="s">
        <v>250</v>
      </c>
      <c r="B29" s="236"/>
      <c r="C29" s="136"/>
      <c r="D29" s="136"/>
      <c r="E29" s="137">
        <f>'4地域_外皮性能と冷房設備'!G10</f>
        <v>3</v>
      </c>
      <c r="F29" s="136">
        <f>'5地域_外皮性能と冷房設備'!G10</f>
        <v>4</v>
      </c>
      <c r="G29" s="136">
        <f>'6地域_外皮性能と冷房設備'!G10</f>
        <v>10</v>
      </c>
      <c r="H29" s="137">
        <f>'7地域_外皮性能と冷房設備'!G10</f>
        <v>13</v>
      </c>
      <c r="I29" s="238">
        <f>INDEX(B28:H32,2,I27)</f>
        <v>3</v>
      </c>
      <c r="J29" s="136">
        <f>IF(AE20&lt;0.6,0,IF(I29=0,0,1))</f>
        <v>1</v>
      </c>
      <c r="L29" s="402"/>
      <c r="M29" s="402"/>
      <c r="N29" s="402"/>
      <c r="O29" s="402"/>
      <c r="P29" s="402"/>
      <c r="Q29" s="402"/>
      <c r="R29" s="402"/>
      <c r="S29" s="402"/>
      <c r="T29" s="402"/>
      <c r="U29" s="88" t="s">
        <v>36</v>
      </c>
      <c r="AD29" s="88" t="s">
        <v>95</v>
      </c>
      <c r="AE29" s="367">
        <f>IF(I29=0,"該当なし",I29)</f>
        <v>3</v>
      </c>
      <c r="AF29" s="368"/>
      <c r="AG29" s="368"/>
      <c r="AH29" s="368"/>
      <c r="AI29" s="369"/>
      <c r="AJ29" s="93" t="s">
        <v>97</v>
      </c>
    </row>
    <row r="30" spans="1:56" ht="27" customHeight="1" thickBot="1" x14ac:dyDescent="0.45">
      <c r="A30" s="236" t="s">
        <v>251</v>
      </c>
      <c r="B30" s="236"/>
      <c r="C30" s="136"/>
      <c r="D30" s="136"/>
      <c r="E30" s="137">
        <f>'4地域_他設備'!C5</f>
        <v>7</v>
      </c>
      <c r="F30" s="136">
        <f>'5地域_他設備'!C5</f>
        <v>8</v>
      </c>
      <c r="G30" s="136">
        <f>'6地域_他設備'!C5</f>
        <v>8</v>
      </c>
      <c r="H30" s="137">
        <f>'7地域_他設備'!C5</f>
        <v>9</v>
      </c>
      <c r="I30" s="238">
        <f>INDEX(B28:H32,3,I27)</f>
        <v>7</v>
      </c>
      <c r="L30" s="402"/>
      <c r="M30" s="402"/>
      <c r="N30" s="402"/>
      <c r="O30" s="402"/>
      <c r="P30" s="402"/>
      <c r="Q30" s="402"/>
      <c r="R30" s="402"/>
      <c r="S30" s="402"/>
      <c r="T30" s="402"/>
      <c r="U30" s="88" t="s">
        <v>37</v>
      </c>
      <c r="AD30" s="88" t="s">
        <v>95</v>
      </c>
      <c r="AE30" s="367">
        <f>I30</f>
        <v>7</v>
      </c>
      <c r="AF30" s="368"/>
      <c r="AG30" s="368"/>
      <c r="AH30" s="368"/>
      <c r="AI30" s="369"/>
      <c r="AJ30" s="93" t="s">
        <v>98</v>
      </c>
    </row>
    <row r="31" spans="1:56" ht="27" customHeight="1" thickBot="1" x14ac:dyDescent="0.45">
      <c r="A31" s="236" t="s">
        <v>252</v>
      </c>
      <c r="B31" s="236"/>
      <c r="C31" s="136"/>
      <c r="D31" s="136"/>
      <c r="E31" s="137">
        <f>'4地域_他設備'!C12</f>
        <v>38</v>
      </c>
      <c r="F31" s="136">
        <f>'5地域_他設備'!C12</f>
        <v>44</v>
      </c>
      <c r="G31" s="136">
        <f>'6地域_他設備'!C12</f>
        <v>43</v>
      </c>
      <c r="H31" s="137">
        <f>'7地域_他設備'!C12</f>
        <v>45</v>
      </c>
      <c r="I31" s="238">
        <f>INDEX(B28:H32,4,I27)</f>
        <v>38</v>
      </c>
      <c r="L31" s="402"/>
      <c r="M31" s="402"/>
      <c r="N31" s="402"/>
      <c r="O31" s="402"/>
      <c r="P31" s="402"/>
      <c r="Q31" s="402"/>
      <c r="R31" s="402"/>
      <c r="S31" s="402"/>
      <c r="T31" s="402"/>
      <c r="U31" s="88" t="s">
        <v>38</v>
      </c>
      <c r="AD31" s="88" t="s">
        <v>95</v>
      </c>
      <c r="AE31" s="367">
        <f>I31</f>
        <v>38</v>
      </c>
      <c r="AF31" s="368"/>
      <c r="AG31" s="368"/>
      <c r="AH31" s="368"/>
      <c r="AI31" s="369"/>
      <c r="AJ31" s="93" t="s">
        <v>99</v>
      </c>
    </row>
    <row r="32" spans="1:56" ht="27" customHeight="1" thickBot="1" x14ac:dyDescent="0.45">
      <c r="A32" s="236" t="s">
        <v>253</v>
      </c>
      <c r="B32" s="236"/>
      <c r="C32" s="136"/>
      <c r="D32" s="136"/>
      <c r="E32" s="137">
        <f>'4地域_他設備'!C31</f>
        <v>8</v>
      </c>
      <c r="F32" s="136">
        <f>'5地域_他設備'!C31</f>
        <v>9</v>
      </c>
      <c r="G32" s="136">
        <f>'6地域_他設備'!C31</f>
        <v>9</v>
      </c>
      <c r="H32" s="137">
        <f>'7地域_他設備'!C31</f>
        <v>11</v>
      </c>
      <c r="I32" s="239">
        <f>INDEX(B28:H32,5,I27)</f>
        <v>8</v>
      </c>
      <c r="L32" s="402"/>
      <c r="M32" s="402"/>
      <c r="N32" s="402"/>
      <c r="O32" s="402"/>
      <c r="P32" s="402"/>
      <c r="Q32" s="402"/>
      <c r="R32" s="402"/>
      <c r="S32" s="402"/>
      <c r="T32" s="402"/>
      <c r="U32" s="88" t="s">
        <v>39</v>
      </c>
      <c r="AD32" s="88" t="s">
        <v>95</v>
      </c>
      <c r="AE32" s="367">
        <f>I32</f>
        <v>8</v>
      </c>
      <c r="AF32" s="368"/>
      <c r="AG32" s="368"/>
      <c r="AH32" s="368"/>
      <c r="AI32" s="369"/>
      <c r="AJ32" s="93" t="s">
        <v>100</v>
      </c>
    </row>
    <row r="33" spans="1:51" ht="7.5" customHeight="1" thickBot="1" x14ac:dyDescent="0.45"/>
    <row r="34" spans="1:51" ht="9" customHeight="1" x14ac:dyDescent="0.4">
      <c r="AE34" s="358">
        <f>SUM(AE28:AI32)</f>
        <v>104</v>
      </c>
      <c r="AF34" s="359"/>
      <c r="AG34" s="359"/>
      <c r="AH34" s="359"/>
      <c r="AI34" s="360"/>
    </row>
    <row r="35" spans="1:51" ht="19.5" x14ac:dyDescent="0.4">
      <c r="L35" s="143" t="s">
        <v>92</v>
      </c>
      <c r="W35" s="88" t="s">
        <v>93</v>
      </c>
      <c r="AD35" s="88" t="s">
        <v>95</v>
      </c>
      <c r="AE35" s="361"/>
      <c r="AF35" s="362"/>
      <c r="AG35" s="362"/>
      <c r="AH35" s="362"/>
      <c r="AI35" s="363"/>
    </row>
    <row r="36" spans="1:51" ht="9" customHeight="1" x14ac:dyDescent="0.4">
      <c r="AE36" s="364"/>
      <c r="AF36" s="365"/>
      <c r="AG36" s="365"/>
      <c r="AH36" s="365"/>
      <c r="AI36" s="366"/>
    </row>
    <row r="37" spans="1:51" ht="8.25" customHeight="1" x14ac:dyDescent="0.4">
      <c r="AE37" s="396" t="str">
        <f>IF(AR24=3,"利用不可",IF(OR(J28=0,J29=0),"利用不可",IF(AE34&lt;=100,"適合","不適合")))</f>
        <v>不適合</v>
      </c>
      <c r="AF37" s="397"/>
      <c r="AG37" s="397"/>
      <c r="AH37" s="397"/>
      <c r="AI37" s="398"/>
    </row>
    <row r="38" spans="1:51" ht="19.5" thickBot="1" x14ac:dyDescent="0.45">
      <c r="L38" s="91" t="s">
        <v>310</v>
      </c>
      <c r="T38" s="144" t="s">
        <v>94</v>
      </c>
      <c r="AE38" s="399"/>
      <c r="AF38" s="400"/>
      <c r="AG38" s="400"/>
      <c r="AH38" s="400"/>
      <c r="AI38" s="401"/>
    </row>
    <row r="40" spans="1:51" x14ac:dyDescent="0.4">
      <c r="L40" s="88" t="s">
        <v>259</v>
      </c>
    </row>
    <row r="41" spans="1:51" x14ac:dyDescent="0.4">
      <c r="AE41" s="382" t="s">
        <v>44</v>
      </c>
      <c r="AF41" s="380"/>
      <c r="AG41" s="380"/>
      <c r="AH41" s="380"/>
      <c r="AI41" s="381"/>
    </row>
    <row r="42" spans="1:51" x14ac:dyDescent="0.4">
      <c r="AE42" s="298">
        <f>I28</f>
        <v>48</v>
      </c>
      <c r="AF42" s="298"/>
      <c r="AG42" s="298"/>
      <c r="AH42" s="298"/>
      <c r="AI42" s="298"/>
    </row>
    <row r="43" spans="1:51" x14ac:dyDescent="0.4">
      <c r="L43" s="88" t="s">
        <v>131</v>
      </c>
    </row>
    <row r="44" spans="1:51" x14ac:dyDescent="0.4">
      <c r="AE44" s="382" t="s">
        <v>44</v>
      </c>
      <c r="AF44" s="380"/>
      <c r="AG44" s="380"/>
      <c r="AH44" s="380"/>
      <c r="AI44" s="381"/>
    </row>
    <row r="45" spans="1:51" x14ac:dyDescent="0.4">
      <c r="AE45" s="298">
        <f>I29</f>
        <v>3</v>
      </c>
      <c r="AF45" s="298"/>
      <c r="AG45" s="298"/>
      <c r="AH45" s="298"/>
      <c r="AI45" s="298"/>
    </row>
    <row r="46" spans="1:51" x14ac:dyDescent="0.4">
      <c r="AE46" s="98"/>
      <c r="AF46" s="98"/>
      <c r="AG46" s="98"/>
      <c r="AH46" s="98"/>
      <c r="AI46" s="98"/>
    </row>
    <row r="47" spans="1:51" ht="19.5" thickBot="1" x14ac:dyDescent="0.45">
      <c r="L47" s="88" t="s">
        <v>48</v>
      </c>
      <c r="R47" s="91" t="s">
        <v>263</v>
      </c>
    </row>
    <row r="48" spans="1:51" ht="19.5" thickBot="1" x14ac:dyDescent="0.45">
      <c r="A48" s="136" t="s">
        <v>272</v>
      </c>
      <c r="H48" s="140"/>
      <c r="N48" s="382" t="s">
        <v>260</v>
      </c>
      <c r="O48" s="380"/>
      <c r="P48" s="380"/>
      <c r="Q48" s="380"/>
      <c r="R48" s="380"/>
      <c r="S48" s="380"/>
      <c r="T48" s="380"/>
      <c r="U48" s="380"/>
      <c r="V48" s="380"/>
      <c r="W48" s="380"/>
      <c r="X48" s="380"/>
      <c r="Y48" s="380"/>
      <c r="Z48" s="380"/>
      <c r="AA48" s="380"/>
      <c r="AB48" s="380"/>
      <c r="AC48" s="380"/>
      <c r="AD48" s="381"/>
      <c r="AE48" s="382" t="s">
        <v>44</v>
      </c>
      <c r="AF48" s="380"/>
      <c r="AG48" s="380"/>
      <c r="AH48" s="380"/>
      <c r="AI48" s="381"/>
      <c r="AR48" s="168" t="s">
        <v>2</v>
      </c>
      <c r="AS48" s="168"/>
      <c r="AT48" s="168"/>
      <c r="AU48" s="168">
        <v>4</v>
      </c>
      <c r="AV48" s="168">
        <v>5</v>
      </c>
      <c r="AW48" s="168">
        <v>6</v>
      </c>
      <c r="AX48" s="94">
        <v>7</v>
      </c>
      <c r="AY48" s="200">
        <f>Y13</f>
        <v>4</v>
      </c>
    </row>
    <row r="49" spans="1:51" x14ac:dyDescent="0.4">
      <c r="A49" s="240">
        <v>4</v>
      </c>
      <c r="H49" s="140"/>
      <c r="N49" s="192" t="s">
        <v>73</v>
      </c>
      <c r="O49" s="170" t="s">
        <v>51</v>
      </c>
      <c r="P49" s="170"/>
      <c r="Q49" s="170"/>
      <c r="R49" s="170"/>
      <c r="S49" s="170"/>
      <c r="T49" s="170"/>
      <c r="U49" s="170"/>
      <c r="V49" s="170"/>
      <c r="W49" s="170"/>
      <c r="X49" s="170"/>
      <c r="Y49" s="170"/>
      <c r="Z49" s="170"/>
      <c r="AA49" s="170"/>
      <c r="AB49" s="170"/>
      <c r="AC49" s="170"/>
      <c r="AD49" s="171"/>
      <c r="AE49" s="298">
        <f>AY49</f>
        <v>10</v>
      </c>
      <c r="AF49" s="298"/>
      <c r="AG49" s="298"/>
      <c r="AH49" s="298"/>
      <c r="AI49" s="298"/>
      <c r="AR49" s="169" t="str">
        <f>O49</f>
        <v>ダクト式第 1 種換気設</v>
      </c>
      <c r="AS49" s="169"/>
      <c r="AT49" s="168">
        <v>1</v>
      </c>
      <c r="AU49" s="168">
        <f>HLOOKUP(暖房方式番号Z,換気設備配列4地域,2,FALSE)</f>
        <v>10</v>
      </c>
      <c r="AV49" s="168">
        <f>HLOOKUP(暖房方式番号Z,換気設備配列5地域,2,FALSE)</f>
        <v>12</v>
      </c>
      <c r="AW49" s="168">
        <f>HLOOKUP(暖房方式番号Z,換気設備配列6地域,2,FALSE)</f>
        <v>13</v>
      </c>
      <c r="AX49" s="94">
        <f>HLOOKUP(暖房方式番号Z,換気設備配列7地域,2,FALSE)</f>
        <v>15</v>
      </c>
      <c r="AY49" s="215">
        <f>INDEX(換気設備ポイント一覧,2,AY48-2)</f>
        <v>10</v>
      </c>
    </row>
    <row r="50" spans="1:51" x14ac:dyDescent="0.4">
      <c r="H50" s="140"/>
      <c r="N50" s="193" t="s">
        <v>73</v>
      </c>
      <c r="O50" s="170" t="s">
        <v>52</v>
      </c>
      <c r="P50" s="170"/>
      <c r="Q50" s="170"/>
      <c r="R50" s="170"/>
      <c r="S50" s="170"/>
      <c r="T50" s="170"/>
      <c r="U50" s="170"/>
      <c r="V50" s="170"/>
      <c r="W50" s="170"/>
      <c r="X50" s="170"/>
      <c r="Y50" s="170"/>
      <c r="Z50" s="170"/>
      <c r="AA50" s="170"/>
      <c r="AB50" s="170"/>
      <c r="AC50" s="170"/>
      <c r="AD50" s="171"/>
      <c r="AE50" s="298">
        <f>AY50</f>
        <v>8</v>
      </c>
      <c r="AF50" s="298"/>
      <c r="AG50" s="298"/>
      <c r="AH50" s="298"/>
      <c r="AI50" s="298"/>
      <c r="AR50" s="169" t="str">
        <f>O50</f>
        <v>ダクト式第 2 種換気設備またはダクト式第 3 種換気設備</v>
      </c>
      <c r="AS50" s="169"/>
      <c r="AT50" s="168">
        <v>2</v>
      </c>
      <c r="AU50" s="168">
        <f>HLOOKUP(暖房方式番号Z,換気設備配列4地域,3,FALSE)</f>
        <v>8</v>
      </c>
      <c r="AV50" s="168">
        <f>HLOOKUP(暖房方式番号Z,換気設備配列5地域,3,FALSE)</f>
        <v>10</v>
      </c>
      <c r="AW50" s="168">
        <f>HLOOKUP(暖房方式番号Z,換気設備配列6地域,3,FALSE)</f>
        <v>10</v>
      </c>
      <c r="AX50" s="94">
        <f>HLOOKUP(暖房方式番号Z,換気設備配列7地域,3,FALSE)</f>
        <v>12</v>
      </c>
      <c r="AY50" s="216">
        <f>INDEX(換気設備ポイント一覧,3,AY48-2)</f>
        <v>8</v>
      </c>
    </row>
    <row r="51" spans="1:51" x14ac:dyDescent="0.4">
      <c r="H51" s="140"/>
      <c r="N51" s="193" t="s">
        <v>73</v>
      </c>
      <c r="O51" s="170" t="s">
        <v>53</v>
      </c>
      <c r="P51" s="170"/>
      <c r="Q51" s="170"/>
      <c r="R51" s="170"/>
      <c r="S51" s="170"/>
      <c r="T51" s="170"/>
      <c r="U51" s="170"/>
      <c r="V51" s="170"/>
      <c r="W51" s="170"/>
      <c r="X51" s="170"/>
      <c r="Y51" s="170"/>
      <c r="Z51" s="170"/>
      <c r="AA51" s="170"/>
      <c r="AB51" s="170"/>
      <c r="AC51" s="170"/>
      <c r="AD51" s="171"/>
      <c r="AE51" s="298">
        <f>AY51</f>
        <v>8</v>
      </c>
      <c r="AF51" s="298"/>
      <c r="AG51" s="298"/>
      <c r="AH51" s="298"/>
      <c r="AI51" s="298"/>
      <c r="AR51" s="169" t="str">
        <f>O51</f>
        <v>壁付け式第 1 種換気設備</v>
      </c>
      <c r="AS51" s="169"/>
      <c r="AT51" s="168">
        <v>3</v>
      </c>
      <c r="AU51" s="168">
        <f>HLOOKUP(暖房方式番号Z,換気設備配列4地域,4,FALSE)</f>
        <v>8</v>
      </c>
      <c r="AV51" s="168">
        <f>HLOOKUP(暖房方式番号Z,換気設備配列5地域,4,FALSE)</f>
        <v>10</v>
      </c>
      <c r="AW51" s="168">
        <f>HLOOKUP(暖房方式番号Z,換気設備配列6地域,4,FALSE)</f>
        <v>10</v>
      </c>
      <c r="AX51" s="94">
        <f>HLOOKUP(暖房方式番号Z,換気設備配列7地域,4,FALSE)</f>
        <v>12</v>
      </c>
      <c r="AY51" s="216">
        <f>INDEX(換気設備ポイント一覧,4,AY48-2)</f>
        <v>8</v>
      </c>
    </row>
    <row r="52" spans="1:51" ht="19.5" thickBot="1" x14ac:dyDescent="0.45">
      <c r="H52" s="140"/>
      <c r="N52" s="193" t="s">
        <v>73</v>
      </c>
      <c r="O52" s="170" t="s">
        <v>54</v>
      </c>
      <c r="P52" s="170"/>
      <c r="Q52" s="170"/>
      <c r="R52" s="170"/>
      <c r="S52" s="170"/>
      <c r="T52" s="170"/>
      <c r="U52" s="170"/>
      <c r="V52" s="170"/>
      <c r="W52" s="170"/>
      <c r="X52" s="170"/>
      <c r="Y52" s="170"/>
      <c r="Z52" s="170"/>
      <c r="AA52" s="170"/>
      <c r="AB52" s="170"/>
      <c r="AC52" s="170"/>
      <c r="AD52" s="171"/>
      <c r="AE52" s="298">
        <f>AY52</f>
        <v>7</v>
      </c>
      <c r="AF52" s="298"/>
      <c r="AG52" s="298"/>
      <c r="AH52" s="298"/>
      <c r="AI52" s="298"/>
      <c r="AR52" s="169" t="str">
        <f>O52</f>
        <v>壁付け式第 2 種換気設備または壁付け式第 3 種換気設備</v>
      </c>
      <c r="AS52" s="169"/>
      <c r="AT52" s="168">
        <v>4</v>
      </c>
      <c r="AU52" s="168">
        <f>HLOOKUP(暖房方式番号Z,換気設備配列4地域,5,FALSE)</f>
        <v>7</v>
      </c>
      <c r="AV52" s="168">
        <f>HLOOKUP(暖房方式番号Z,換気設備配列5地域,5,FALSE)</f>
        <v>8</v>
      </c>
      <c r="AW52" s="168">
        <f>HLOOKUP(暖房方式番号Z,換気設備配列6地域,5,FALSE)</f>
        <v>8</v>
      </c>
      <c r="AX52" s="94">
        <f>HLOOKUP(暖房方式番号Z,換気設備配列7地域,5,FALSE)</f>
        <v>9</v>
      </c>
      <c r="AY52" s="217">
        <f>INDEX(換気設備ポイント一覧,5,AY48-2)</f>
        <v>7</v>
      </c>
    </row>
    <row r="53" spans="1:51" x14ac:dyDescent="0.4">
      <c r="N53" s="195"/>
    </row>
    <row r="54" spans="1:51" x14ac:dyDescent="0.4">
      <c r="N54" s="98"/>
    </row>
    <row r="55" spans="1:51" ht="19.5" thickBot="1" x14ac:dyDescent="0.45">
      <c r="L55" s="88" t="s">
        <v>55</v>
      </c>
      <c r="R55" s="91" t="s">
        <v>263</v>
      </c>
    </row>
    <row r="56" spans="1:51" ht="19.5" thickBot="1" x14ac:dyDescent="0.45">
      <c r="A56" s="136" t="s">
        <v>272</v>
      </c>
      <c r="B56" s="136"/>
      <c r="C56" s="136" t="s">
        <v>273</v>
      </c>
      <c r="D56" s="136"/>
      <c r="E56" s="137" t="s">
        <v>270</v>
      </c>
      <c r="F56" s="241"/>
      <c r="N56" s="379" t="s">
        <v>260</v>
      </c>
      <c r="O56" s="380"/>
      <c r="P56" s="380"/>
      <c r="Q56" s="380"/>
      <c r="R56" s="380"/>
      <c r="S56" s="380"/>
      <c r="T56" s="380"/>
      <c r="U56" s="380"/>
      <c r="V56" s="380"/>
      <c r="W56" s="380"/>
      <c r="X56" s="380"/>
      <c r="Y56" s="381"/>
      <c r="Z56" s="379" t="s">
        <v>56</v>
      </c>
      <c r="AA56" s="380"/>
      <c r="AB56" s="380"/>
      <c r="AC56" s="380"/>
      <c r="AD56" s="381"/>
      <c r="AE56" s="379" t="s">
        <v>44</v>
      </c>
      <c r="AF56" s="380"/>
      <c r="AG56" s="380"/>
      <c r="AH56" s="380"/>
      <c r="AI56" s="381"/>
      <c r="AR56" s="168" t="s">
        <v>2</v>
      </c>
      <c r="AS56" s="168"/>
      <c r="AT56" s="168"/>
      <c r="AU56" s="168">
        <v>4</v>
      </c>
      <c r="AV56" s="168">
        <v>5</v>
      </c>
      <c r="AW56" s="168">
        <v>6</v>
      </c>
      <c r="AX56" s="94">
        <v>7</v>
      </c>
      <c r="AY56" s="199">
        <f>Y13</f>
        <v>4</v>
      </c>
    </row>
    <row r="57" spans="1:51" x14ac:dyDescent="0.4">
      <c r="A57" s="242">
        <v>1</v>
      </c>
      <c r="B57" s="243">
        <v>1</v>
      </c>
      <c r="C57" s="136"/>
      <c r="D57" s="136"/>
      <c r="E57" s="137">
        <v>1</v>
      </c>
      <c r="F57" s="244">
        <f>IF(A57=1,1,0)</f>
        <v>1</v>
      </c>
      <c r="N57" s="193" t="str">
        <f>IF(A57=1,"■","□")</f>
        <v>■</v>
      </c>
      <c r="O57" s="170" t="s">
        <v>33</v>
      </c>
      <c r="P57" s="170"/>
      <c r="Q57" s="170"/>
      <c r="R57" s="170"/>
      <c r="S57" s="170"/>
      <c r="T57" s="170"/>
      <c r="U57" s="170"/>
      <c r="V57" s="170"/>
      <c r="W57" s="170"/>
      <c r="X57" s="170"/>
      <c r="Y57" s="171"/>
      <c r="Z57" s="390"/>
      <c r="AA57" s="391"/>
      <c r="AB57" s="391"/>
      <c r="AC57" s="391"/>
      <c r="AD57" s="392"/>
      <c r="AE57" s="298">
        <f t="shared" ref="AE57:AE67" si="0">AY57</f>
        <v>38</v>
      </c>
      <c r="AF57" s="298"/>
      <c r="AG57" s="298"/>
      <c r="AH57" s="298"/>
      <c r="AI57" s="298"/>
      <c r="AL57" s="88">
        <v>1</v>
      </c>
      <c r="AR57" s="218" t="str">
        <f>O57</f>
        <v>設置なし</v>
      </c>
      <c r="AS57" s="219"/>
      <c r="AT57" s="168">
        <v>1</v>
      </c>
      <c r="AU57" s="168">
        <f>HLOOKUP(暖房方式番号Z,給湯設備配列4地域,2,FALSE)</f>
        <v>38</v>
      </c>
      <c r="AV57" s="168">
        <f>HLOOKUP(暖房方式番号Z,給湯設備配列5地域,2,FALSE)</f>
        <v>44</v>
      </c>
      <c r="AW57" s="168">
        <f>HLOOKUP(暖房方式番号Z,給湯設備配列6地域,2,FALSE)</f>
        <v>43</v>
      </c>
      <c r="AX57" s="168">
        <f>HLOOKUP(暖房方式番号Z,給湯設備配列7地域,2,FALSE)</f>
        <v>45</v>
      </c>
      <c r="AY57" s="220">
        <f>INDEX(給気設備ポイント一覧,2,AY48-2)</f>
        <v>38</v>
      </c>
    </row>
    <row r="58" spans="1:51" x14ac:dyDescent="0.4">
      <c r="A58" s="130"/>
      <c r="B58" s="130">
        <v>2</v>
      </c>
      <c r="C58" s="242">
        <v>1</v>
      </c>
      <c r="D58" s="245">
        <v>1</v>
      </c>
      <c r="E58" s="137">
        <v>2</v>
      </c>
      <c r="F58" s="244">
        <f>IF(AND(A57=2,C58=1),2,0)</f>
        <v>0</v>
      </c>
      <c r="N58" s="185" t="str">
        <f>IF(A57=2,"■","□")</f>
        <v>□</v>
      </c>
      <c r="O58" s="172" t="s">
        <v>57</v>
      </c>
      <c r="P58" s="172"/>
      <c r="Q58" s="172"/>
      <c r="R58" s="172"/>
      <c r="S58" s="172"/>
      <c r="T58" s="172"/>
      <c r="U58" s="172"/>
      <c r="V58" s="172"/>
      <c r="W58" s="172"/>
      <c r="X58" s="172"/>
      <c r="Y58" s="173"/>
      <c r="Z58" s="192" t="str">
        <f>IF(C58=1,"■","□")</f>
        <v>■</v>
      </c>
      <c r="AA58" s="170" t="s">
        <v>62</v>
      </c>
      <c r="AB58" s="170"/>
      <c r="AC58" s="170"/>
      <c r="AD58" s="171"/>
      <c r="AE58" s="298">
        <f t="shared" si="0"/>
        <v>44</v>
      </c>
      <c r="AF58" s="298"/>
      <c r="AG58" s="298"/>
      <c r="AH58" s="298"/>
      <c r="AI58" s="298"/>
      <c r="AL58" s="88">
        <v>2</v>
      </c>
      <c r="AR58" s="206" t="str">
        <f>O58</f>
        <v>ガス従来型給湯機</v>
      </c>
      <c r="AS58" s="214" t="s">
        <v>62</v>
      </c>
      <c r="AT58" s="168">
        <v>2</v>
      </c>
      <c r="AU58" s="168">
        <f>HLOOKUP(暖房方式番号Z,給湯設備配列4地域,3,FALSE)</f>
        <v>44</v>
      </c>
      <c r="AV58" s="168">
        <f>HLOOKUP(暖房方式番号Z,給湯設備配列5地域,3,FALSE)</f>
        <v>48</v>
      </c>
      <c r="AW58" s="168">
        <f>HLOOKUP(暖房方式番号Z,給湯設備配列6地域,3,FALSE)</f>
        <v>47</v>
      </c>
      <c r="AX58" s="168">
        <f>HLOOKUP(暖房方式番号Z,給湯設備配列7地域,3,FALSE)</f>
        <v>49</v>
      </c>
      <c r="AY58" s="220">
        <f>INDEX(給気設備ポイント一覧,3,AY48-2)</f>
        <v>44</v>
      </c>
    </row>
    <row r="59" spans="1:51" x14ac:dyDescent="0.4">
      <c r="A59" s="130"/>
      <c r="B59" s="130"/>
      <c r="C59" s="246"/>
      <c r="D59" s="247">
        <v>2</v>
      </c>
      <c r="E59" s="137">
        <v>3</v>
      </c>
      <c r="F59" s="244">
        <f>IF(AND(A57=2,C58=2),3,0)</f>
        <v>0</v>
      </c>
      <c r="N59" s="186"/>
      <c r="O59" s="175"/>
      <c r="P59" s="175"/>
      <c r="Q59" s="175"/>
      <c r="R59" s="175"/>
      <c r="S59" s="175"/>
      <c r="T59" s="175"/>
      <c r="U59" s="175"/>
      <c r="V59" s="175"/>
      <c r="W59" s="175"/>
      <c r="X59" s="175"/>
      <c r="Y59" s="176"/>
      <c r="Z59" s="193" t="str">
        <f>IF(C58=2,"■","□")</f>
        <v>□</v>
      </c>
      <c r="AA59" s="170" t="s">
        <v>63</v>
      </c>
      <c r="AB59" s="170"/>
      <c r="AC59" s="170"/>
      <c r="AD59" s="171"/>
      <c r="AE59" s="298">
        <f t="shared" si="0"/>
        <v>41</v>
      </c>
      <c r="AF59" s="298"/>
      <c r="AG59" s="298"/>
      <c r="AH59" s="298"/>
      <c r="AI59" s="298"/>
      <c r="AL59" s="88">
        <v>3</v>
      </c>
      <c r="AR59" s="207"/>
      <c r="AS59" s="214" t="s">
        <v>63</v>
      </c>
      <c r="AT59" s="168">
        <v>3</v>
      </c>
      <c r="AU59" s="168">
        <f>HLOOKUP(暖房方式番号Z,給湯設備配列4地域,4,FALSE)</f>
        <v>41</v>
      </c>
      <c r="AV59" s="168">
        <f>HLOOKUP(暖房方式番号Z,給湯設備配列5地域,4,FALSE)</f>
        <v>45</v>
      </c>
      <c r="AW59" s="168">
        <f>HLOOKUP(暖房方式番号Z,給湯設備配列6地域,4,FALSE)</f>
        <v>44</v>
      </c>
      <c r="AX59" s="168">
        <f>HLOOKUP(暖房方式番号Z,給湯設備配列7地域,4,FALSE)</f>
        <v>46</v>
      </c>
      <c r="AY59" s="220">
        <f>INDEX(給気設備ポイント一覧,4,AY48-2)</f>
        <v>41</v>
      </c>
    </row>
    <row r="60" spans="1:51" x14ac:dyDescent="0.4">
      <c r="A60" s="130"/>
      <c r="B60" s="130">
        <v>3</v>
      </c>
      <c r="C60" s="242">
        <v>1</v>
      </c>
      <c r="D60" s="245">
        <v>1</v>
      </c>
      <c r="E60" s="137">
        <v>4</v>
      </c>
      <c r="F60" s="244">
        <f>IF(AND(A57=3,C60=1),4,0)</f>
        <v>0</v>
      </c>
      <c r="N60" s="185" t="str">
        <f>IF(A57=3,"■","□")</f>
        <v>□</v>
      </c>
      <c r="O60" s="172" t="s">
        <v>58</v>
      </c>
      <c r="P60" s="172"/>
      <c r="Q60" s="172"/>
      <c r="R60" s="172"/>
      <c r="S60" s="172"/>
      <c r="T60" s="172"/>
      <c r="U60" s="172"/>
      <c r="V60" s="172"/>
      <c r="W60" s="172"/>
      <c r="X60" s="172"/>
      <c r="Y60" s="173"/>
      <c r="Z60" s="193" t="str">
        <f>IF(C60=1,"■","□")</f>
        <v>■</v>
      </c>
      <c r="AA60" s="170" t="s">
        <v>62</v>
      </c>
      <c r="AB60" s="170"/>
      <c r="AC60" s="170"/>
      <c r="AD60" s="171"/>
      <c r="AE60" s="298">
        <f t="shared" si="0"/>
        <v>38</v>
      </c>
      <c r="AF60" s="298"/>
      <c r="AG60" s="298"/>
      <c r="AH60" s="298"/>
      <c r="AI60" s="298"/>
      <c r="AL60" s="88">
        <v>4</v>
      </c>
      <c r="AR60" s="206" t="str">
        <f>O60</f>
        <v>ガス潜熱回収型給湯機</v>
      </c>
      <c r="AS60" s="214" t="s">
        <v>62</v>
      </c>
      <c r="AT60" s="168">
        <v>4</v>
      </c>
      <c r="AU60" s="168">
        <f>HLOOKUP(暖房方式番号Z,給湯設備配列4地域,5,FALSE)</f>
        <v>38</v>
      </c>
      <c r="AV60" s="168">
        <f>HLOOKUP(暖房方式番号Z,給湯設備配列5地域,5,FALSE)</f>
        <v>41</v>
      </c>
      <c r="AW60" s="168">
        <f>HLOOKUP(暖房方式番号Z,給湯設備配列6地域,5,FALSE)</f>
        <v>40</v>
      </c>
      <c r="AX60" s="168">
        <f>HLOOKUP(暖房方式番号Z,給湯設備配列7地域,5,FALSE)</f>
        <v>42</v>
      </c>
      <c r="AY60" s="220">
        <f>INDEX(給気設備ポイント一覧,5,AY48-2)</f>
        <v>38</v>
      </c>
    </row>
    <row r="61" spans="1:51" x14ac:dyDescent="0.4">
      <c r="A61" s="130"/>
      <c r="B61" s="130"/>
      <c r="C61" s="246"/>
      <c r="D61" s="247">
        <v>2</v>
      </c>
      <c r="E61" s="137">
        <v>5</v>
      </c>
      <c r="F61" s="244">
        <f>IF(AND(A57=3,C60=2),5,0)</f>
        <v>0</v>
      </c>
      <c r="N61" s="186"/>
      <c r="O61" s="175"/>
      <c r="P61" s="175"/>
      <c r="Q61" s="175"/>
      <c r="R61" s="175"/>
      <c r="S61" s="175"/>
      <c r="T61" s="175"/>
      <c r="U61" s="175"/>
      <c r="V61" s="175"/>
      <c r="W61" s="175"/>
      <c r="X61" s="175"/>
      <c r="Y61" s="176"/>
      <c r="Z61" s="193" t="str">
        <f>IF(C60=2,"■","□")</f>
        <v>□</v>
      </c>
      <c r="AA61" s="170" t="s">
        <v>63</v>
      </c>
      <c r="AB61" s="170"/>
      <c r="AC61" s="170"/>
      <c r="AD61" s="171"/>
      <c r="AE61" s="298">
        <f t="shared" si="0"/>
        <v>35</v>
      </c>
      <c r="AF61" s="298"/>
      <c r="AG61" s="298"/>
      <c r="AH61" s="298"/>
      <c r="AI61" s="298"/>
      <c r="AL61" s="88">
        <v>5</v>
      </c>
      <c r="AR61" s="207"/>
      <c r="AS61" s="214" t="s">
        <v>63</v>
      </c>
      <c r="AT61" s="168">
        <v>5</v>
      </c>
      <c r="AU61" s="168">
        <f>HLOOKUP(暖房方式番号Z,給湯設備配列4地域,6,FALSE)</f>
        <v>35</v>
      </c>
      <c r="AV61" s="168">
        <f>HLOOKUP(暖房方式番号Z,給湯設備配列5地域,6,FALSE)</f>
        <v>39</v>
      </c>
      <c r="AW61" s="168">
        <f>HLOOKUP(暖房方式番号Z,給湯設備配列6地域,6,FALSE)</f>
        <v>38</v>
      </c>
      <c r="AX61" s="168">
        <f>HLOOKUP(暖房方式番号Z,給湯設備配列7地域,6,FALSE)</f>
        <v>39</v>
      </c>
      <c r="AY61" s="220">
        <f>INDEX(給気設備ポイント一覧,6,AY48-2)</f>
        <v>35</v>
      </c>
    </row>
    <row r="62" spans="1:51" x14ac:dyDescent="0.4">
      <c r="A62" s="130"/>
      <c r="B62" s="130">
        <v>4</v>
      </c>
      <c r="C62" s="242">
        <v>1</v>
      </c>
      <c r="D62" s="245">
        <v>1</v>
      </c>
      <c r="E62" s="137">
        <v>6</v>
      </c>
      <c r="F62" s="244">
        <f>IF(AND(A57=4,C62=1),6,0)</f>
        <v>0</v>
      </c>
      <c r="N62" s="185" t="str">
        <f>IF(A57=4,"■","□")</f>
        <v>□</v>
      </c>
      <c r="O62" s="172" t="s">
        <v>59</v>
      </c>
      <c r="P62" s="172"/>
      <c r="Q62" s="172"/>
      <c r="R62" s="172"/>
      <c r="S62" s="172"/>
      <c r="T62" s="172"/>
      <c r="U62" s="172"/>
      <c r="V62" s="172"/>
      <c r="W62" s="172"/>
      <c r="X62" s="172"/>
      <c r="Y62" s="173"/>
      <c r="Z62" s="193" t="str">
        <f>IF(C62=1,"■","□")</f>
        <v>■</v>
      </c>
      <c r="AA62" s="170" t="s">
        <v>62</v>
      </c>
      <c r="AB62" s="170"/>
      <c r="AC62" s="170"/>
      <c r="AD62" s="171"/>
      <c r="AE62" s="298">
        <f t="shared" si="0"/>
        <v>39</v>
      </c>
      <c r="AF62" s="298"/>
      <c r="AG62" s="298"/>
      <c r="AH62" s="298"/>
      <c r="AI62" s="298"/>
      <c r="AL62" s="88">
        <v>6</v>
      </c>
      <c r="AR62" s="206" t="str">
        <f>O62</f>
        <v>石油従来型給湯機</v>
      </c>
      <c r="AS62" s="214" t="s">
        <v>62</v>
      </c>
      <c r="AT62" s="168">
        <v>6</v>
      </c>
      <c r="AU62" s="168">
        <f>HLOOKUP(暖房方式番号Z,給湯設備配列4地域,7,FALSE)</f>
        <v>39</v>
      </c>
      <c r="AV62" s="168">
        <f>HLOOKUP(暖房方式番号Z,給湯設備配列5地域,7,FALSE)</f>
        <v>43</v>
      </c>
      <c r="AW62" s="168">
        <f>HLOOKUP(暖房方式番号Z,給湯設備配列6地域,7,FALSE)</f>
        <v>42</v>
      </c>
      <c r="AX62" s="168">
        <f>HLOOKUP(暖房方式番号Z,給湯設備配列7地域,7,FALSE)</f>
        <v>44</v>
      </c>
      <c r="AY62" s="220">
        <f>INDEX(給気設備ポイント一覧,7,AY48-2)</f>
        <v>39</v>
      </c>
    </row>
    <row r="63" spans="1:51" x14ac:dyDescent="0.4">
      <c r="A63" s="130"/>
      <c r="B63" s="130"/>
      <c r="C63" s="246"/>
      <c r="D63" s="247">
        <v>2</v>
      </c>
      <c r="E63" s="137">
        <v>7</v>
      </c>
      <c r="F63" s="244">
        <f>IF(AND(A57=4,C62=2),7,0)</f>
        <v>0</v>
      </c>
      <c r="N63" s="186"/>
      <c r="O63" s="175"/>
      <c r="P63" s="175"/>
      <c r="Q63" s="175"/>
      <c r="R63" s="175"/>
      <c r="S63" s="175"/>
      <c r="T63" s="175"/>
      <c r="U63" s="175"/>
      <c r="V63" s="175"/>
      <c r="W63" s="175"/>
      <c r="X63" s="175"/>
      <c r="Y63" s="176"/>
      <c r="Z63" s="193" t="str">
        <f>IF(C62=2,"■","□")</f>
        <v>□</v>
      </c>
      <c r="AA63" s="170" t="s">
        <v>63</v>
      </c>
      <c r="AB63" s="170"/>
      <c r="AC63" s="170"/>
      <c r="AD63" s="171"/>
      <c r="AE63" s="298">
        <f t="shared" si="0"/>
        <v>37</v>
      </c>
      <c r="AF63" s="298"/>
      <c r="AG63" s="298"/>
      <c r="AH63" s="298"/>
      <c r="AI63" s="298"/>
      <c r="AL63" s="88">
        <v>7</v>
      </c>
      <c r="AR63" s="207"/>
      <c r="AS63" s="214" t="s">
        <v>63</v>
      </c>
      <c r="AT63" s="168">
        <v>7</v>
      </c>
      <c r="AU63" s="168">
        <f>HLOOKUP(暖房方式番号Z,給湯設備配列4地域,8,FALSE)</f>
        <v>37</v>
      </c>
      <c r="AV63" s="168">
        <f>HLOOKUP(暖房方式番号Z,給湯設備配列5地域,8,FALSE)</f>
        <v>40</v>
      </c>
      <c r="AW63" s="168">
        <f>HLOOKUP(暖房方式番号Z,給湯設備配列6地域,8,FALSE)</f>
        <v>39</v>
      </c>
      <c r="AX63" s="168">
        <f>HLOOKUP(暖房方式番号Z,給湯設備配列7地域,8,FALSE)</f>
        <v>41</v>
      </c>
      <c r="AY63" s="220">
        <f>INDEX(給気設備ポイント一覧,8,AY48-2)</f>
        <v>37</v>
      </c>
    </row>
    <row r="64" spans="1:51" x14ac:dyDescent="0.4">
      <c r="A64" s="130"/>
      <c r="B64" s="130">
        <v>5</v>
      </c>
      <c r="C64" s="242">
        <v>1</v>
      </c>
      <c r="D64" s="245">
        <v>1</v>
      </c>
      <c r="E64" s="137">
        <v>8</v>
      </c>
      <c r="F64" s="244">
        <f>IF(AND(A57=5,C64=1),8,0)</f>
        <v>0</v>
      </c>
      <c r="N64" s="185" t="str">
        <f>IF(A57=5,"■","□")</f>
        <v>□</v>
      </c>
      <c r="O64" s="172" t="s">
        <v>60</v>
      </c>
      <c r="P64" s="172"/>
      <c r="Q64" s="172"/>
      <c r="R64" s="172"/>
      <c r="S64" s="172"/>
      <c r="T64" s="172"/>
      <c r="U64" s="172"/>
      <c r="V64" s="172"/>
      <c r="W64" s="172"/>
      <c r="X64" s="172"/>
      <c r="Y64" s="173"/>
      <c r="Z64" s="193" t="str">
        <f>IF(C64=1,"■","□")</f>
        <v>■</v>
      </c>
      <c r="AA64" s="170" t="s">
        <v>62</v>
      </c>
      <c r="AB64" s="170"/>
      <c r="AC64" s="170"/>
      <c r="AD64" s="171"/>
      <c r="AE64" s="298">
        <f t="shared" si="0"/>
        <v>38</v>
      </c>
      <c r="AF64" s="298"/>
      <c r="AG64" s="298"/>
      <c r="AH64" s="298"/>
      <c r="AI64" s="298"/>
      <c r="AL64" s="88">
        <v>8</v>
      </c>
      <c r="AR64" s="206" t="str">
        <f>O64</f>
        <v>石油潜熱回収型給湯機</v>
      </c>
      <c r="AS64" s="214" t="s">
        <v>62</v>
      </c>
      <c r="AT64" s="168">
        <v>8</v>
      </c>
      <c r="AU64" s="168">
        <f>HLOOKUP(暖房方式番号Z,給湯設備配列4地域,9,FALSE)</f>
        <v>38</v>
      </c>
      <c r="AV64" s="168">
        <f>HLOOKUP(暖房方式番号Z,給湯設備配列5地域,9,FALSE)</f>
        <v>41</v>
      </c>
      <c r="AW64" s="168">
        <f>HLOOKUP(暖房方式番号Z,給湯設備配列6地域,9,FALSE)</f>
        <v>40</v>
      </c>
      <c r="AX64" s="168">
        <f>HLOOKUP(暖房方式番号Z,給湯設備配列7地域,9,FALSE)</f>
        <v>42</v>
      </c>
      <c r="AY64" s="220">
        <f>INDEX(給気設備ポイント一覧,9,AY48-2)</f>
        <v>38</v>
      </c>
    </row>
    <row r="65" spans="1:51" x14ac:dyDescent="0.4">
      <c r="A65" s="130"/>
      <c r="B65" s="130"/>
      <c r="C65" s="246"/>
      <c r="D65" s="247">
        <v>2</v>
      </c>
      <c r="E65" s="137">
        <v>9</v>
      </c>
      <c r="F65" s="244">
        <f>IF(AND(A57=5,C64=2),9,0)</f>
        <v>0</v>
      </c>
      <c r="N65" s="186"/>
      <c r="O65" s="175"/>
      <c r="P65" s="175"/>
      <c r="Q65" s="175"/>
      <c r="R65" s="175"/>
      <c r="S65" s="175"/>
      <c r="T65" s="175"/>
      <c r="U65" s="175"/>
      <c r="V65" s="175"/>
      <c r="W65" s="175"/>
      <c r="X65" s="175"/>
      <c r="Y65" s="176"/>
      <c r="Z65" s="193" t="str">
        <f>IF(C64=2,"■","□")</f>
        <v>□</v>
      </c>
      <c r="AA65" s="170" t="s">
        <v>63</v>
      </c>
      <c r="AB65" s="170"/>
      <c r="AC65" s="170"/>
      <c r="AD65" s="171"/>
      <c r="AE65" s="298">
        <f t="shared" si="0"/>
        <v>35</v>
      </c>
      <c r="AF65" s="298"/>
      <c r="AG65" s="298"/>
      <c r="AH65" s="298"/>
      <c r="AI65" s="298"/>
      <c r="AL65" s="88">
        <v>9</v>
      </c>
      <c r="AR65" s="207"/>
      <c r="AS65" s="214" t="s">
        <v>63</v>
      </c>
      <c r="AT65" s="168">
        <v>9</v>
      </c>
      <c r="AU65" s="168">
        <f>HLOOKUP(暖房方式番号Z,給湯設備配列4地域,10,FALSE)</f>
        <v>35</v>
      </c>
      <c r="AV65" s="168">
        <f>HLOOKUP(暖房方式番号Z,給湯設備配列5地域,10,FALSE)</f>
        <v>39</v>
      </c>
      <c r="AW65" s="168">
        <f>HLOOKUP(暖房方式番号Z,給湯設備配列6地域,10,FALSE)</f>
        <v>38</v>
      </c>
      <c r="AX65" s="168">
        <f>HLOOKUP(暖房方式番号Z,給湯設備配列7地域,10,FALSE)</f>
        <v>39</v>
      </c>
      <c r="AY65" s="220">
        <f>INDEX(給気設備ポイント一覧,10,AY48-2)</f>
        <v>35</v>
      </c>
    </row>
    <row r="66" spans="1:51" x14ac:dyDescent="0.4">
      <c r="A66" s="130"/>
      <c r="B66" s="130">
        <v>6</v>
      </c>
      <c r="C66" s="242">
        <v>1</v>
      </c>
      <c r="D66" s="245">
        <v>1</v>
      </c>
      <c r="E66" s="137">
        <v>10</v>
      </c>
      <c r="F66" s="244">
        <f>IF(AND(A57=6,C66=1),10,0)</f>
        <v>0</v>
      </c>
      <c r="N66" s="185" t="str">
        <f>IF(A57=6,"■","□")</f>
        <v>□</v>
      </c>
      <c r="O66" s="172" t="s">
        <v>61</v>
      </c>
      <c r="P66" s="172"/>
      <c r="Q66" s="172"/>
      <c r="R66" s="172"/>
      <c r="S66" s="172"/>
      <c r="T66" s="172"/>
      <c r="U66" s="172"/>
      <c r="V66" s="172"/>
      <c r="W66" s="172"/>
      <c r="X66" s="172"/>
      <c r="Y66" s="173"/>
      <c r="Z66" s="193" t="str">
        <f>IF(C66=1,"■","□")</f>
        <v>■</v>
      </c>
      <c r="AA66" s="170" t="s">
        <v>62</v>
      </c>
      <c r="AB66" s="170"/>
      <c r="AC66" s="170"/>
      <c r="AD66" s="171"/>
      <c r="AE66" s="298">
        <f t="shared" si="0"/>
        <v>37</v>
      </c>
      <c r="AF66" s="298"/>
      <c r="AG66" s="298"/>
      <c r="AH66" s="298"/>
      <c r="AI66" s="298"/>
      <c r="AL66" s="88">
        <v>10</v>
      </c>
      <c r="AR66" s="206" t="str">
        <f>O66</f>
        <v>電気ヒートポンプ給湯機（CO2冷媒）</v>
      </c>
      <c r="AS66" s="214" t="s">
        <v>62</v>
      </c>
      <c r="AT66" s="168">
        <v>10</v>
      </c>
      <c r="AU66" s="168">
        <f>HLOOKUP(暖房方式番号Z,給湯設備配列4地域,11,FALSE)</f>
        <v>37</v>
      </c>
      <c r="AV66" s="168">
        <f>HLOOKUP(暖房方式番号Z,給湯設備配列5地域,11,FALSE)</f>
        <v>39</v>
      </c>
      <c r="AW66" s="168">
        <f>HLOOKUP(暖房方式番号Z,給湯設備配列6地域,11,FALSE)</f>
        <v>36</v>
      </c>
      <c r="AX66" s="168">
        <f>HLOOKUP(暖房方式番号Z,給湯設備配列7地域,11,FALSE)</f>
        <v>35</v>
      </c>
      <c r="AY66" s="220">
        <f>INDEX(給気設備ポイント一覧,11,AY48-2)</f>
        <v>37</v>
      </c>
    </row>
    <row r="67" spans="1:51" ht="19.5" thickBot="1" x14ac:dyDescent="0.45">
      <c r="A67" s="130"/>
      <c r="B67" s="130"/>
      <c r="C67" s="130"/>
      <c r="D67" s="248">
        <v>2</v>
      </c>
      <c r="E67" s="249">
        <v>11</v>
      </c>
      <c r="F67" s="250">
        <f>IF(AND(A57=6,C66=2),11,0)</f>
        <v>0</v>
      </c>
      <c r="N67" s="186"/>
      <c r="O67" s="175"/>
      <c r="P67" s="175"/>
      <c r="Q67" s="175"/>
      <c r="R67" s="175"/>
      <c r="S67" s="175"/>
      <c r="T67" s="175"/>
      <c r="U67" s="175"/>
      <c r="V67" s="175"/>
      <c r="W67" s="175"/>
      <c r="X67" s="175"/>
      <c r="Y67" s="176"/>
      <c r="Z67" s="193" t="str">
        <f>IF(C66=2,"■","□")</f>
        <v>□</v>
      </c>
      <c r="AA67" s="170" t="s">
        <v>63</v>
      </c>
      <c r="AB67" s="170"/>
      <c r="AC67" s="170"/>
      <c r="AD67" s="171"/>
      <c r="AE67" s="298">
        <f t="shared" si="0"/>
        <v>35</v>
      </c>
      <c r="AF67" s="298"/>
      <c r="AG67" s="298"/>
      <c r="AH67" s="298"/>
      <c r="AI67" s="298"/>
      <c r="AL67" s="88">
        <v>11</v>
      </c>
      <c r="AR67" s="207"/>
      <c r="AS67" s="214" t="s">
        <v>63</v>
      </c>
      <c r="AT67" s="168">
        <v>11</v>
      </c>
      <c r="AU67" s="168">
        <f>HLOOKUP(暖房方式番号Z,給湯設備配列4地域,12,FALSE)</f>
        <v>35</v>
      </c>
      <c r="AV67" s="168">
        <f>HLOOKUP(暖房方式番号Z,給湯設備配列5地域,12,FALSE)</f>
        <v>37</v>
      </c>
      <c r="AW67" s="168">
        <f>HLOOKUP(暖房方式番号Z,給湯設備配列6地域,12,FALSE)</f>
        <v>34</v>
      </c>
      <c r="AX67" s="168">
        <f>HLOOKUP(暖房方式番号Z,給湯設備配列7地域,12,FALSE)</f>
        <v>33</v>
      </c>
      <c r="AY67" s="220">
        <f>INDEX(給気設備ポイント一覧,12,AY48-2)</f>
        <v>35</v>
      </c>
    </row>
    <row r="68" spans="1:51" ht="19.5" thickBot="1" x14ac:dyDescent="0.45">
      <c r="A68" s="251"/>
      <c r="B68" s="252" t="s">
        <v>271</v>
      </c>
      <c r="C68" s="252"/>
      <c r="D68" s="252"/>
      <c r="E68" s="253"/>
      <c r="F68" s="254">
        <f>SUM(F57:F67)</f>
        <v>1</v>
      </c>
      <c r="Z68" s="194"/>
    </row>
    <row r="69" spans="1:51" x14ac:dyDescent="0.4">
      <c r="N69" s="404" t="s">
        <v>261</v>
      </c>
      <c r="O69" s="404"/>
      <c r="P69" s="404"/>
      <c r="Q69" s="404"/>
      <c r="R69" s="404"/>
      <c r="S69" s="404"/>
      <c r="T69" s="404"/>
      <c r="U69" s="404"/>
      <c r="V69" s="404"/>
      <c r="W69" s="404"/>
      <c r="X69" s="404"/>
      <c r="Y69" s="404"/>
      <c r="Z69" s="404"/>
      <c r="AA69" s="404"/>
      <c r="AB69" s="404"/>
      <c r="AC69" s="404"/>
      <c r="AD69" s="404"/>
      <c r="AE69" s="404"/>
      <c r="AF69" s="404"/>
      <c r="AG69" s="404"/>
      <c r="AH69" s="404"/>
      <c r="AI69" s="404"/>
      <c r="AJ69" s="404"/>
    </row>
    <row r="70" spans="1:51" x14ac:dyDescent="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row>
    <row r="71" spans="1:51" x14ac:dyDescent="0.4">
      <c r="O71" s="404" t="s">
        <v>262</v>
      </c>
      <c r="P71" s="404"/>
      <c r="Q71" s="404"/>
      <c r="R71" s="404"/>
      <c r="S71" s="404"/>
      <c r="T71" s="404"/>
      <c r="U71" s="404"/>
      <c r="V71" s="404"/>
      <c r="W71" s="404"/>
      <c r="X71" s="404"/>
      <c r="Y71" s="404"/>
      <c r="Z71" s="404"/>
      <c r="AA71" s="404"/>
      <c r="AB71" s="404"/>
      <c r="AC71" s="404"/>
      <c r="AD71" s="404"/>
      <c r="AE71" s="404"/>
      <c r="AF71" s="404"/>
      <c r="AG71" s="404"/>
      <c r="AH71" s="404"/>
      <c r="AI71" s="404"/>
      <c r="AJ71" s="404"/>
    </row>
    <row r="72" spans="1:51" x14ac:dyDescent="0.4">
      <c r="O72" s="404"/>
      <c r="P72" s="404"/>
      <c r="Q72" s="404"/>
      <c r="R72" s="404"/>
      <c r="S72" s="404"/>
      <c r="T72" s="404"/>
      <c r="U72" s="404"/>
      <c r="V72" s="404"/>
      <c r="W72" s="404"/>
      <c r="X72" s="404"/>
      <c r="Y72" s="404"/>
      <c r="Z72" s="404"/>
      <c r="AA72" s="404"/>
      <c r="AB72" s="404"/>
      <c r="AC72" s="404"/>
      <c r="AD72" s="404"/>
      <c r="AE72" s="404"/>
      <c r="AF72" s="404"/>
      <c r="AG72" s="404"/>
      <c r="AH72" s="404"/>
      <c r="AI72" s="404"/>
      <c r="AJ72" s="404"/>
    </row>
    <row r="73" spans="1:51" x14ac:dyDescent="0.4">
      <c r="O73" s="404"/>
      <c r="P73" s="404"/>
      <c r="Q73" s="404"/>
      <c r="R73" s="404"/>
      <c r="S73" s="404"/>
      <c r="T73" s="404"/>
      <c r="U73" s="404"/>
      <c r="V73" s="404"/>
      <c r="W73" s="404"/>
      <c r="X73" s="404"/>
      <c r="Y73" s="404"/>
      <c r="Z73" s="404"/>
      <c r="AA73" s="404"/>
      <c r="AB73" s="404"/>
      <c r="AC73" s="404"/>
      <c r="AD73" s="404"/>
      <c r="AE73" s="404"/>
      <c r="AF73" s="404"/>
      <c r="AG73" s="404"/>
      <c r="AH73" s="404"/>
      <c r="AI73" s="404"/>
      <c r="AJ73" s="404"/>
    </row>
    <row r="77" spans="1:51" x14ac:dyDescent="0.4">
      <c r="L77" s="88" t="s">
        <v>64</v>
      </c>
    </row>
    <row r="78" spans="1:51" x14ac:dyDescent="0.4">
      <c r="M78" s="404" t="s">
        <v>66</v>
      </c>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row>
    <row r="79" spans="1:51" x14ac:dyDescent="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row>
    <row r="80" spans="1:51" ht="19.5" thickBot="1" x14ac:dyDescent="0.45">
      <c r="N80" s="379" t="s">
        <v>260</v>
      </c>
      <c r="O80" s="380"/>
      <c r="P80" s="380"/>
      <c r="Q80" s="380"/>
      <c r="R80" s="380"/>
      <c r="S80" s="380"/>
      <c r="T80" s="380"/>
      <c r="U80" s="380"/>
      <c r="V80" s="380"/>
      <c r="W80" s="380"/>
      <c r="X80" s="380"/>
      <c r="Y80" s="380"/>
      <c r="Z80" s="380"/>
      <c r="AA80" s="380"/>
      <c r="AB80" s="380"/>
      <c r="AC80" s="380"/>
      <c r="AD80" s="381"/>
      <c r="AE80" s="405" t="s">
        <v>44</v>
      </c>
      <c r="AF80" s="406"/>
      <c r="AG80" s="406"/>
      <c r="AH80" s="406"/>
      <c r="AI80" s="407"/>
      <c r="AR80" s="168"/>
      <c r="AS80" s="168"/>
      <c r="AT80" s="168" t="s">
        <v>293</v>
      </c>
      <c r="AU80" s="353" t="s">
        <v>292</v>
      </c>
      <c r="AV80" s="354"/>
      <c r="AW80" s="354"/>
      <c r="AX80" s="355"/>
    </row>
    <row r="81" spans="1:51" ht="19.5" thickBot="1" x14ac:dyDescent="0.45">
      <c r="A81" s="236" t="s">
        <v>274</v>
      </c>
      <c r="B81" s="136"/>
      <c r="C81" s="236" t="s">
        <v>275</v>
      </c>
      <c r="D81" s="136"/>
      <c r="E81" s="136" t="s">
        <v>28</v>
      </c>
      <c r="F81" s="243"/>
      <c r="N81" s="379" t="s">
        <v>67</v>
      </c>
      <c r="O81" s="380"/>
      <c r="P81" s="380"/>
      <c r="Q81" s="380"/>
      <c r="R81" s="380"/>
      <c r="S81" s="380"/>
      <c r="T81" s="381"/>
      <c r="U81" s="379" t="s">
        <v>68</v>
      </c>
      <c r="V81" s="380"/>
      <c r="W81" s="380"/>
      <c r="X81" s="380"/>
      <c r="Y81" s="380"/>
      <c r="Z81" s="380"/>
      <c r="AA81" s="380"/>
      <c r="AB81" s="380"/>
      <c r="AC81" s="380"/>
      <c r="AD81" s="381"/>
      <c r="AE81" s="408"/>
      <c r="AF81" s="409"/>
      <c r="AG81" s="409"/>
      <c r="AH81" s="409"/>
      <c r="AI81" s="410"/>
      <c r="AR81" s="168"/>
      <c r="AS81" s="168"/>
      <c r="AT81" s="168"/>
      <c r="AU81" s="168">
        <v>4</v>
      </c>
      <c r="AV81" s="168">
        <v>5</v>
      </c>
      <c r="AW81" s="168">
        <v>6</v>
      </c>
      <c r="AX81" s="168">
        <v>7</v>
      </c>
      <c r="AY81" s="199">
        <f>Y13</f>
        <v>4</v>
      </c>
    </row>
    <row r="82" spans="1:51" x14ac:dyDescent="0.4">
      <c r="A82" s="242">
        <v>1</v>
      </c>
      <c r="B82" s="243">
        <v>1</v>
      </c>
      <c r="C82" s="242">
        <v>1</v>
      </c>
      <c r="D82" s="136">
        <v>1</v>
      </c>
      <c r="E82" s="137">
        <v>1</v>
      </c>
      <c r="F82" s="255">
        <f>IF(AND(A82=1,C82=1),1,0)</f>
        <v>1</v>
      </c>
      <c r="N82" s="185" t="str">
        <f>IF(A82=1,"■","□")</f>
        <v>■</v>
      </c>
      <c r="O82" s="172" t="s">
        <v>33</v>
      </c>
      <c r="P82" s="172"/>
      <c r="Q82" s="172"/>
      <c r="R82" s="172"/>
      <c r="S82" s="172"/>
      <c r="T82" s="172"/>
      <c r="U82" s="187" t="str">
        <f>IF(C82=1,"■","□")</f>
        <v>■</v>
      </c>
      <c r="V82" s="413" t="s">
        <v>69</v>
      </c>
      <c r="W82" s="413"/>
      <c r="X82" s="179"/>
      <c r="Y82" s="179"/>
      <c r="Z82" s="179"/>
      <c r="AA82" s="179"/>
      <c r="AB82" s="179"/>
      <c r="AC82" s="179"/>
      <c r="AD82" s="180"/>
      <c r="AE82" s="355">
        <f>AY82</f>
        <v>8</v>
      </c>
      <c r="AF82" s="298"/>
      <c r="AG82" s="298"/>
      <c r="AH82" s="298"/>
      <c r="AI82" s="298"/>
      <c r="AK82" s="88">
        <v>1</v>
      </c>
      <c r="AR82" s="196" t="str">
        <f>O82</f>
        <v>設置なし</v>
      </c>
      <c r="AS82" s="168" t="str">
        <f t="shared" ref="AS82:AS97" si="1">V82</f>
        <v xml:space="preserve">設置なし </v>
      </c>
      <c r="AT82" s="168">
        <f t="shared" ref="AT82:AT97" si="2">AK82</f>
        <v>1</v>
      </c>
      <c r="AU82" s="168">
        <f t="shared" ref="AU82:AU97" si="3">HLOOKUP(暖房方式番号Z,照明設備配列4地域,AT82+1,FALSE)</f>
        <v>8</v>
      </c>
      <c r="AV82" s="168">
        <f t="shared" ref="AV82:AV97" si="4">HLOOKUP(暖房方式番号Z,照明設備配列5地域,AT82+1,FALSE)</f>
        <v>9</v>
      </c>
      <c r="AW82" s="168">
        <f t="shared" ref="AW82:AW97" si="5">HLOOKUP(暖房方式番号Z,照明設備配列6地域,AT82+1,FALSE)</f>
        <v>9</v>
      </c>
      <c r="AX82" s="168">
        <f t="shared" ref="AX82:AX97" si="6">HLOOKUP(暖房方式番号Z,照明設備配列7地域,AT82+1,FALSE)</f>
        <v>11</v>
      </c>
      <c r="AY82" s="220">
        <f>INDEX(照明設備ポイント一覧,2,AY81-2)</f>
        <v>8</v>
      </c>
    </row>
    <row r="83" spans="1:51" x14ac:dyDescent="0.4">
      <c r="A83" s="256"/>
      <c r="B83" s="130"/>
      <c r="C83" s="256"/>
      <c r="D83" s="136">
        <v>2</v>
      </c>
      <c r="E83" s="137">
        <v>2</v>
      </c>
      <c r="F83" s="257">
        <f>IF(AND(A82=1,C82=2),2,0)</f>
        <v>0</v>
      </c>
      <c r="N83" s="190"/>
      <c r="O83" s="177"/>
      <c r="P83" s="177"/>
      <c r="Q83" s="177"/>
      <c r="R83" s="177"/>
      <c r="S83" s="177"/>
      <c r="T83" s="177"/>
      <c r="U83" s="188" t="str">
        <f>IF(C82=2,"■","□")</f>
        <v>□</v>
      </c>
      <c r="V83" s="411" t="s">
        <v>70</v>
      </c>
      <c r="W83" s="411"/>
      <c r="X83" s="181"/>
      <c r="Y83" s="181"/>
      <c r="Z83" s="181"/>
      <c r="AA83" s="181"/>
      <c r="AB83" s="181"/>
      <c r="AC83" s="181"/>
      <c r="AD83" s="182"/>
      <c r="AE83" s="355">
        <f t="shared" ref="AE83:AE97" si="7">AY83</f>
        <v>8</v>
      </c>
      <c r="AF83" s="298"/>
      <c r="AG83" s="298"/>
      <c r="AH83" s="298"/>
      <c r="AI83" s="298"/>
      <c r="AK83" s="88">
        <v>2</v>
      </c>
      <c r="AR83" s="197"/>
      <c r="AS83" s="168" t="str">
        <f t="shared" si="1"/>
        <v>LED</v>
      </c>
      <c r="AT83" s="168">
        <f t="shared" si="2"/>
        <v>2</v>
      </c>
      <c r="AU83" s="168">
        <f t="shared" si="3"/>
        <v>8</v>
      </c>
      <c r="AV83" s="168">
        <f t="shared" si="4"/>
        <v>9</v>
      </c>
      <c r="AW83" s="168">
        <f t="shared" si="5"/>
        <v>9</v>
      </c>
      <c r="AX83" s="168">
        <f t="shared" si="6"/>
        <v>11</v>
      </c>
      <c r="AY83" s="220">
        <f>INDEX(照明設備ポイント一覧,3,AY81-2)</f>
        <v>8</v>
      </c>
    </row>
    <row r="84" spans="1:51" x14ac:dyDescent="0.4">
      <c r="A84" s="256"/>
      <c r="B84" s="130"/>
      <c r="C84" s="256"/>
      <c r="D84" s="136">
        <v>3</v>
      </c>
      <c r="E84" s="137">
        <v>3</v>
      </c>
      <c r="F84" s="257">
        <f>IF(AND(A82=1,C82=3),3,0)</f>
        <v>0</v>
      </c>
      <c r="N84" s="190"/>
      <c r="O84" s="177"/>
      <c r="P84" s="177"/>
      <c r="Q84" s="177"/>
      <c r="R84" s="177"/>
      <c r="S84" s="177"/>
      <c r="T84" s="177"/>
      <c r="U84" s="188" t="str">
        <f>IF(C82=3,"■","□")</f>
        <v>□</v>
      </c>
      <c r="V84" s="411" t="s">
        <v>71</v>
      </c>
      <c r="W84" s="411"/>
      <c r="X84" s="181"/>
      <c r="Y84" s="181"/>
      <c r="Z84" s="181"/>
      <c r="AA84" s="181"/>
      <c r="AB84" s="181"/>
      <c r="AC84" s="181"/>
      <c r="AD84" s="182"/>
      <c r="AE84" s="355">
        <f t="shared" si="7"/>
        <v>8</v>
      </c>
      <c r="AF84" s="298"/>
      <c r="AG84" s="298"/>
      <c r="AH84" s="298"/>
      <c r="AI84" s="298"/>
      <c r="AK84" s="88">
        <v>3</v>
      </c>
      <c r="AR84" s="197"/>
      <c r="AS84" s="168" t="str">
        <f t="shared" si="1"/>
        <v>白熱灯以外</v>
      </c>
      <c r="AT84" s="168">
        <f t="shared" si="2"/>
        <v>3</v>
      </c>
      <c r="AU84" s="168">
        <f t="shared" si="3"/>
        <v>8</v>
      </c>
      <c r="AV84" s="168">
        <f t="shared" si="4"/>
        <v>9</v>
      </c>
      <c r="AW84" s="168">
        <f t="shared" si="5"/>
        <v>10</v>
      </c>
      <c r="AX84" s="168">
        <f t="shared" si="6"/>
        <v>12</v>
      </c>
      <c r="AY84" s="220">
        <f>INDEX(照明設備ポイント一覧,4,AY81-2)</f>
        <v>8</v>
      </c>
    </row>
    <row r="85" spans="1:51" x14ac:dyDescent="0.4">
      <c r="A85" s="256"/>
      <c r="B85" s="134"/>
      <c r="C85" s="246"/>
      <c r="D85" s="136">
        <v>4</v>
      </c>
      <c r="E85" s="137">
        <v>4</v>
      </c>
      <c r="F85" s="257">
        <f>IF(AND(A82=1,C82=4),4,0)</f>
        <v>0</v>
      </c>
      <c r="N85" s="191"/>
      <c r="O85" s="175"/>
      <c r="P85" s="175"/>
      <c r="Q85" s="175"/>
      <c r="R85" s="175"/>
      <c r="S85" s="175"/>
      <c r="T85" s="175"/>
      <c r="U85" s="189" t="str">
        <f>IF(C82=4,"■","□")</f>
        <v>□</v>
      </c>
      <c r="V85" s="412" t="s">
        <v>72</v>
      </c>
      <c r="W85" s="412"/>
      <c r="X85" s="183"/>
      <c r="Y85" s="183"/>
      <c r="Z85" s="183"/>
      <c r="AA85" s="183"/>
      <c r="AB85" s="183"/>
      <c r="AC85" s="183"/>
      <c r="AD85" s="184"/>
      <c r="AE85" s="355">
        <f t="shared" si="7"/>
        <v>10</v>
      </c>
      <c r="AF85" s="298"/>
      <c r="AG85" s="298"/>
      <c r="AH85" s="298"/>
      <c r="AI85" s="298"/>
      <c r="AK85" s="88">
        <v>4</v>
      </c>
      <c r="AR85" s="198"/>
      <c r="AS85" s="168" t="str">
        <f t="shared" si="1"/>
        <v>白熱灯</v>
      </c>
      <c r="AT85" s="168">
        <f t="shared" si="2"/>
        <v>4</v>
      </c>
      <c r="AU85" s="168">
        <f t="shared" si="3"/>
        <v>10</v>
      </c>
      <c r="AV85" s="168">
        <f t="shared" si="4"/>
        <v>12</v>
      </c>
      <c r="AW85" s="168">
        <f t="shared" si="5"/>
        <v>13</v>
      </c>
      <c r="AX85" s="168">
        <f t="shared" si="6"/>
        <v>14</v>
      </c>
      <c r="AY85" s="220">
        <f>INDEX(照明設備ポイント一覧,5,AY81-2)</f>
        <v>10</v>
      </c>
    </row>
    <row r="86" spans="1:51" x14ac:dyDescent="0.4">
      <c r="A86" s="256"/>
      <c r="B86" s="243">
        <v>2</v>
      </c>
      <c r="C86" s="242">
        <v>1</v>
      </c>
      <c r="D86" s="136">
        <v>1</v>
      </c>
      <c r="E86" s="137">
        <v>5</v>
      </c>
      <c r="F86" s="257">
        <f>IF(AND(A82=2,C86=1),5,0)</f>
        <v>0</v>
      </c>
      <c r="N86" s="185" t="str">
        <f>IF(A82=2,"■","□")</f>
        <v>□</v>
      </c>
      <c r="O86" s="172" t="s">
        <v>70</v>
      </c>
      <c r="P86" s="172"/>
      <c r="Q86" s="172"/>
      <c r="R86" s="172"/>
      <c r="S86" s="172"/>
      <c r="T86" s="172"/>
      <c r="U86" s="187" t="str">
        <f>IF(C86=1,"■","□")</f>
        <v>■</v>
      </c>
      <c r="V86" s="413" t="s">
        <v>69</v>
      </c>
      <c r="W86" s="413"/>
      <c r="X86" s="179"/>
      <c r="Y86" s="179"/>
      <c r="Z86" s="179"/>
      <c r="AA86" s="179"/>
      <c r="AB86" s="179"/>
      <c r="AC86" s="179"/>
      <c r="AD86" s="180"/>
      <c r="AE86" s="355">
        <f t="shared" si="7"/>
        <v>8</v>
      </c>
      <c r="AF86" s="298"/>
      <c r="AG86" s="298"/>
      <c r="AH86" s="298"/>
      <c r="AI86" s="298"/>
      <c r="AK86" s="88">
        <v>5</v>
      </c>
      <c r="AR86" s="197" t="str">
        <f>O86</f>
        <v>LED</v>
      </c>
      <c r="AS86" s="168" t="str">
        <f t="shared" si="1"/>
        <v xml:space="preserve">設置なし </v>
      </c>
      <c r="AT86" s="168">
        <f t="shared" si="2"/>
        <v>5</v>
      </c>
      <c r="AU86" s="168">
        <f t="shared" si="3"/>
        <v>8</v>
      </c>
      <c r="AV86" s="168">
        <f t="shared" si="4"/>
        <v>9</v>
      </c>
      <c r="AW86" s="168">
        <f t="shared" si="5"/>
        <v>9</v>
      </c>
      <c r="AX86" s="168">
        <f t="shared" si="6"/>
        <v>11</v>
      </c>
      <c r="AY86" s="220">
        <f>INDEX(照明設備ポイント一覧,6,AY81-2)</f>
        <v>8</v>
      </c>
    </row>
    <row r="87" spans="1:51" x14ac:dyDescent="0.4">
      <c r="A87" s="256"/>
      <c r="B87" s="130"/>
      <c r="C87" s="256"/>
      <c r="D87" s="136">
        <v>2</v>
      </c>
      <c r="E87" s="137">
        <v>6</v>
      </c>
      <c r="F87" s="257">
        <f>IF(AND(A82=2,C86=2),6,0)</f>
        <v>0</v>
      </c>
      <c r="N87" s="190"/>
      <c r="O87" s="177"/>
      <c r="P87" s="177"/>
      <c r="Q87" s="177"/>
      <c r="R87" s="177"/>
      <c r="S87" s="177"/>
      <c r="T87" s="177"/>
      <c r="U87" s="188" t="str">
        <f>IF(C86=2,"■","□")</f>
        <v>□</v>
      </c>
      <c r="V87" s="411" t="s">
        <v>70</v>
      </c>
      <c r="W87" s="411"/>
      <c r="X87" s="181"/>
      <c r="Y87" s="181"/>
      <c r="Z87" s="181"/>
      <c r="AA87" s="181"/>
      <c r="AB87" s="181"/>
      <c r="AC87" s="181"/>
      <c r="AD87" s="182"/>
      <c r="AE87" s="355">
        <f t="shared" si="7"/>
        <v>8</v>
      </c>
      <c r="AF87" s="298"/>
      <c r="AG87" s="298"/>
      <c r="AH87" s="298"/>
      <c r="AI87" s="298"/>
      <c r="AK87" s="88">
        <v>6</v>
      </c>
      <c r="AR87" s="197"/>
      <c r="AS87" s="168" t="str">
        <f t="shared" si="1"/>
        <v>LED</v>
      </c>
      <c r="AT87" s="168">
        <f t="shared" si="2"/>
        <v>6</v>
      </c>
      <c r="AU87" s="168">
        <f t="shared" si="3"/>
        <v>8</v>
      </c>
      <c r="AV87" s="168">
        <f t="shared" si="4"/>
        <v>9</v>
      </c>
      <c r="AW87" s="168">
        <f t="shared" si="5"/>
        <v>9</v>
      </c>
      <c r="AX87" s="168">
        <f t="shared" si="6"/>
        <v>11</v>
      </c>
      <c r="AY87" s="220">
        <f>INDEX(照明設備ポイント一覧,7,AY81-2)</f>
        <v>8</v>
      </c>
    </row>
    <row r="88" spans="1:51" x14ac:dyDescent="0.4">
      <c r="A88" s="256"/>
      <c r="B88" s="130"/>
      <c r="C88" s="256"/>
      <c r="D88" s="136">
        <v>3</v>
      </c>
      <c r="E88" s="137">
        <v>7</v>
      </c>
      <c r="F88" s="257">
        <f>IF(AND(A82=2,C86=3),7,0)</f>
        <v>0</v>
      </c>
      <c r="N88" s="190"/>
      <c r="O88" s="177"/>
      <c r="P88" s="177"/>
      <c r="Q88" s="177"/>
      <c r="R88" s="177"/>
      <c r="S88" s="177"/>
      <c r="T88" s="177"/>
      <c r="U88" s="188" t="str">
        <f>IF(C86=3,"■","□")</f>
        <v>□</v>
      </c>
      <c r="V88" s="411" t="s">
        <v>71</v>
      </c>
      <c r="W88" s="411"/>
      <c r="X88" s="181"/>
      <c r="Y88" s="181"/>
      <c r="Z88" s="181"/>
      <c r="AA88" s="181"/>
      <c r="AB88" s="181"/>
      <c r="AC88" s="181"/>
      <c r="AD88" s="182"/>
      <c r="AE88" s="355">
        <f t="shared" si="7"/>
        <v>8</v>
      </c>
      <c r="AF88" s="298"/>
      <c r="AG88" s="298"/>
      <c r="AH88" s="298"/>
      <c r="AI88" s="298"/>
      <c r="AK88" s="88">
        <v>7</v>
      </c>
      <c r="AR88" s="197"/>
      <c r="AS88" s="168" t="str">
        <f t="shared" si="1"/>
        <v>白熱灯以外</v>
      </c>
      <c r="AT88" s="168">
        <f t="shared" si="2"/>
        <v>7</v>
      </c>
      <c r="AU88" s="168">
        <f t="shared" si="3"/>
        <v>8</v>
      </c>
      <c r="AV88" s="168">
        <f t="shared" si="4"/>
        <v>9</v>
      </c>
      <c r="AW88" s="168">
        <f t="shared" si="5"/>
        <v>10</v>
      </c>
      <c r="AX88" s="168">
        <f t="shared" si="6"/>
        <v>12</v>
      </c>
      <c r="AY88" s="220">
        <f>INDEX(照明設備ポイント一覧,8,AY81-2)</f>
        <v>8</v>
      </c>
    </row>
    <row r="89" spans="1:51" x14ac:dyDescent="0.4">
      <c r="A89" s="256"/>
      <c r="B89" s="134"/>
      <c r="C89" s="246"/>
      <c r="D89" s="136">
        <v>4</v>
      </c>
      <c r="E89" s="137">
        <v>8</v>
      </c>
      <c r="F89" s="257">
        <f>IF(AND(A82=2,C86=4),8,0)</f>
        <v>0</v>
      </c>
      <c r="N89" s="191"/>
      <c r="O89" s="175"/>
      <c r="P89" s="175"/>
      <c r="Q89" s="175"/>
      <c r="R89" s="175"/>
      <c r="S89" s="175"/>
      <c r="T89" s="175"/>
      <c r="U89" s="189" t="str">
        <f>IF(C86=4,"■","□")</f>
        <v>□</v>
      </c>
      <c r="V89" s="412" t="s">
        <v>72</v>
      </c>
      <c r="W89" s="412"/>
      <c r="X89" s="183"/>
      <c r="Y89" s="183"/>
      <c r="Z89" s="183"/>
      <c r="AA89" s="183"/>
      <c r="AB89" s="183"/>
      <c r="AC89" s="183"/>
      <c r="AD89" s="184"/>
      <c r="AE89" s="355">
        <f t="shared" si="7"/>
        <v>10</v>
      </c>
      <c r="AF89" s="298"/>
      <c r="AG89" s="298"/>
      <c r="AH89" s="298"/>
      <c r="AI89" s="298"/>
      <c r="AK89" s="88">
        <v>8</v>
      </c>
      <c r="AR89" s="197"/>
      <c r="AS89" s="168" t="str">
        <f t="shared" si="1"/>
        <v>白熱灯</v>
      </c>
      <c r="AT89" s="168">
        <f t="shared" si="2"/>
        <v>8</v>
      </c>
      <c r="AU89" s="168">
        <f t="shared" si="3"/>
        <v>10</v>
      </c>
      <c r="AV89" s="168">
        <f t="shared" si="4"/>
        <v>12</v>
      </c>
      <c r="AW89" s="168">
        <f t="shared" si="5"/>
        <v>13</v>
      </c>
      <c r="AX89" s="168">
        <f t="shared" si="6"/>
        <v>14</v>
      </c>
      <c r="AY89" s="220">
        <f>INDEX(照明設備ポイント一覧,9,AY81-2)</f>
        <v>10</v>
      </c>
    </row>
    <row r="90" spans="1:51" x14ac:dyDescent="0.4">
      <c r="A90" s="256"/>
      <c r="B90" s="243">
        <v>3</v>
      </c>
      <c r="C90" s="242">
        <v>1</v>
      </c>
      <c r="D90" s="136">
        <v>1</v>
      </c>
      <c r="E90" s="137">
        <v>9</v>
      </c>
      <c r="F90" s="257">
        <f>IF(AND(A82=3,C90=1),9,0)</f>
        <v>0</v>
      </c>
      <c r="N90" s="185" t="str">
        <f>IF(A82=3,"■","□")</f>
        <v>□</v>
      </c>
      <c r="O90" s="172" t="s">
        <v>71</v>
      </c>
      <c r="P90" s="172"/>
      <c r="Q90" s="172"/>
      <c r="R90" s="172"/>
      <c r="S90" s="172"/>
      <c r="T90" s="172"/>
      <c r="U90" s="187" t="str">
        <f>IF(C90=1,"■","□")</f>
        <v>■</v>
      </c>
      <c r="V90" s="413" t="s">
        <v>69</v>
      </c>
      <c r="W90" s="413"/>
      <c r="X90" s="179"/>
      <c r="Y90" s="179"/>
      <c r="Z90" s="179"/>
      <c r="AA90" s="179"/>
      <c r="AB90" s="179"/>
      <c r="AC90" s="179"/>
      <c r="AD90" s="180"/>
      <c r="AE90" s="355">
        <f t="shared" si="7"/>
        <v>8</v>
      </c>
      <c r="AF90" s="298"/>
      <c r="AG90" s="298"/>
      <c r="AH90" s="298"/>
      <c r="AI90" s="298"/>
      <c r="AK90" s="88">
        <v>9</v>
      </c>
      <c r="AR90" s="196" t="str">
        <f>O90</f>
        <v>白熱灯以外</v>
      </c>
      <c r="AS90" s="168" t="str">
        <f t="shared" si="1"/>
        <v xml:space="preserve">設置なし </v>
      </c>
      <c r="AT90" s="168">
        <f t="shared" si="2"/>
        <v>9</v>
      </c>
      <c r="AU90" s="168">
        <f t="shared" si="3"/>
        <v>8</v>
      </c>
      <c r="AV90" s="168">
        <f t="shared" si="4"/>
        <v>10</v>
      </c>
      <c r="AW90" s="168">
        <f t="shared" si="5"/>
        <v>11</v>
      </c>
      <c r="AX90" s="168">
        <f t="shared" si="6"/>
        <v>12</v>
      </c>
      <c r="AY90" s="220">
        <f>INDEX(照明設備ポイント一覧,10,AY81-2)</f>
        <v>8</v>
      </c>
    </row>
    <row r="91" spans="1:51" x14ac:dyDescent="0.4">
      <c r="A91" s="256"/>
      <c r="B91" s="130"/>
      <c r="C91" s="256"/>
      <c r="D91" s="136">
        <v>2</v>
      </c>
      <c r="E91" s="137">
        <v>10</v>
      </c>
      <c r="F91" s="257">
        <f>IF(AND(A82=3,C90=2),10,0)</f>
        <v>0</v>
      </c>
      <c r="N91" s="190"/>
      <c r="O91" s="177"/>
      <c r="P91" s="177"/>
      <c r="Q91" s="177"/>
      <c r="R91" s="177"/>
      <c r="S91" s="177"/>
      <c r="T91" s="177"/>
      <c r="U91" s="188" t="str">
        <f>IF(C90=2,"■","□")</f>
        <v>□</v>
      </c>
      <c r="V91" s="411" t="s">
        <v>70</v>
      </c>
      <c r="W91" s="411"/>
      <c r="X91" s="181"/>
      <c r="Y91" s="181"/>
      <c r="Z91" s="181"/>
      <c r="AA91" s="181"/>
      <c r="AB91" s="181"/>
      <c r="AC91" s="181"/>
      <c r="AD91" s="182"/>
      <c r="AE91" s="355">
        <f t="shared" si="7"/>
        <v>8</v>
      </c>
      <c r="AF91" s="298"/>
      <c r="AG91" s="298"/>
      <c r="AH91" s="298"/>
      <c r="AI91" s="298"/>
      <c r="AK91" s="88">
        <v>10</v>
      </c>
      <c r="AR91" s="197"/>
      <c r="AS91" s="168" t="str">
        <f t="shared" si="1"/>
        <v>LED</v>
      </c>
      <c r="AT91" s="168">
        <f t="shared" si="2"/>
        <v>10</v>
      </c>
      <c r="AU91" s="168">
        <f t="shared" si="3"/>
        <v>8</v>
      </c>
      <c r="AV91" s="168">
        <f t="shared" si="4"/>
        <v>10</v>
      </c>
      <c r="AW91" s="168">
        <f t="shared" si="5"/>
        <v>11</v>
      </c>
      <c r="AX91" s="168">
        <f t="shared" si="6"/>
        <v>12</v>
      </c>
      <c r="AY91" s="220">
        <f>INDEX(照明設備ポイント一覧,11,AY81-2)</f>
        <v>8</v>
      </c>
    </row>
    <row r="92" spans="1:51" x14ac:dyDescent="0.4">
      <c r="A92" s="256"/>
      <c r="B92" s="130"/>
      <c r="C92" s="256"/>
      <c r="D92" s="136">
        <v>3</v>
      </c>
      <c r="E92" s="137">
        <v>11</v>
      </c>
      <c r="F92" s="257">
        <f>IF(AND(A82=3,C90=3),11,0)</f>
        <v>0</v>
      </c>
      <c r="N92" s="190"/>
      <c r="O92" s="177"/>
      <c r="P92" s="177"/>
      <c r="Q92" s="177"/>
      <c r="R92" s="177"/>
      <c r="S92" s="177"/>
      <c r="T92" s="177"/>
      <c r="U92" s="188" t="str">
        <f>IF(C90=3,"■","□")</f>
        <v>□</v>
      </c>
      <c r="V92" s="411" t="s">
        <v>71</v>
      </c>
      <c r="W92" s="411"/>
      <c r="X92" s="181"/>
      <c r="Y92" s="181"/>
      <c r="Z92" s="181"/>
      <c r="AA92" s="181"/>
      <c r="AB92" s="181"/>
      <c r="AC92" s="181"/>
      <c r="AD92" s="182"/>
      <c r="AE92" s="355">
        <f t="shared" si="7"/>
        <v>9</v>
      </c>
      <c r="AF92" s="298"/>
      <c r="AG92" s="298"/>
      <c r="AH92" s="298"/>
      <c r="AI92" s="298"/>
      <c r="AK92" s="88">
        <v>11</v>
      </c>
      <c r="AR92" s="197"/>
      <c r="AS92" s="168" t="str">
        <f t="shared" si="1"/>
        <v>白熱灯以外</v>
      </c>
      <c r="AT92" s="168">
        <f t="shared" si="2"/>
        <v>11</v>
      </c>
      <c r="AU92" s="168">
        <f t="shared" si="3"/>
        <v>9</v>
      </c>
      <c r="AV92" s="168">
        <f t="shared" si="4"/>
        <v>11</v>
      </c>
      <c r="AW92" s="168">
        <f t="shared" si="5"/>
        <v>11</v>
      </c>
      <c r="AX92" s="168">
        <f t="shared" si="6"/>
        <v>13</v>
      </c>
      <c r="AY92" s="220">
        <f>INDEX(照明設備ポイント一覧,12,AY81-2)</f>
        <v>9</v>
      </c>
    </row>
    <row r="93" spans="1:51" x14ac:dyDescent="0.4">
      <c r="A93" s="256"/>
      <c r="B93" s="134"/>
      <c r="C93" s="246"/>
      <c r="D93" s="136">
        <v>4</v>
      </c>
      <c r="E93" s="137">
        <v>12</v>
      </c>
      <c r="F93" s="257">
        <f>IF(AND(A82=3,C90=4),12,0)</f>
        <v>0</v>
      </c>
      <c r="N93" s="191"/>
      <c r="O93" s="175"/>
      <c r="P93" s="175"/>
      <c r="Q93" s="175"/>
      <c r="R93" s="175"/>
      <c r="S93" s="175"/>
      <c r="T93" s="175"/>
      <c r="U93" s="189" t="str">
        <f>IF(C90=4,"■","□")</f>
        <v>□</v>
      </c>
      <c r="V93" s="412" t="s">
        <v>72</v>
      </c>
      <c r="W93" s="412"/>
      <c r="X93" s="183"/>
      <c r="Y93" s="183"/>
      <c r="Z93" s="183"/>
      <c r="AA93" s="183"/>
      <c r="AB93" s="183"/>
      <c r="AC93" s="183"/>
      <c r="AD93" s="184"/>
      <c r="AE93" s="355">
        <f t="shared" si="7"/>
        <v>11</v>
      </c>
      <c r="AF93" s="298"/>
      <c r="AG93" s="298"/>
      <c r="AH93" s="298"/>
      <c r="AI93" s="298"/>
      <c r="AK93" s="88">
        <v>12</v>
      </c>
      <c r="AR93" s="198"/>
      <c r="AS93" s="168" t="str">
        <f t="shared" si="1"/>
        <v>白熱灯</v>
      </c>
      <c r="AT93" s="168">
        <f t="shared" si="2"/>
        <v>12</v>
      </c>
      <c r="AU93" s="168">
        <f t="shared" si="3"/>
        <v>11</v>
      </c>
      <c r="AV93" s="168">
        <f t="shared" si="4"/>
        <v>13</v>
      </c>
      <c r="AW93" s="168">
        <f t="shared" si="5"/>
        <v>14</v>
      </c>
      <c r="AX93" s="168">
        <f t="shared" si="6"/>
        <v>16</v>
      </c>
      <c r="AY93" s="220">
        <f>INDEX(照明設備ポイント一覧,13,AY81-2)</f>
        <v>11</v>
      </c>
    </row>
    <row r="94" spans="1:51" x14ac:dyDescent="0.4">
      <c r="A94" s="256"/>
      <c r="B94" s="243">
        <v>4</v>
      </c>
      <c r="C94" s="242">
        <v>1</v>
      </c>
      <c r="D94" s="136">
        <v>1</v>
      </c>
      <c r="E94" s="137">
        <v>13</v>
      </c>
      <c r="F94" s="257">
        <f>IF(AND(A82=4,C94=1),13,0)</f>
        <v>0</v>
      </c>
      <c r="N94" s="185" t="str">
        <f>IF(A82=4,"■","□")</f>
        <v>□</v>
      </c>
      <c r="O94" s="172" t="s">
        <v>72</v>
      </c>
      <c r="P94" s="172"/>
      <c r="Q94" s="172"/>
      <c r="R94" s="172"/>
      <c r="S94" s="172"/>
      <c r="T94" s="172"/>
      <c r="U94" s="187" t="str">
        <f>IF(C94=1,"■","□")</f>
        <v>■</v>
      </c>
      <c r="V94" s="413" t="s">
        <v>69</v>
      </c>
      <c r="W94" s="413"/>
      <c r="X94" s="179"/>
      <c r="Y94" s="179"/>
      <c r="Z94" s="179"/>
      <c r="AA94" s="179"/>
      <c r="AB94" s="179"/>
      <c r="AC94" s="179"/>
      <c r="AD94" s="180"/>
      <c r="AE94" s="355">
        <f t="shared" si="7"/>
        <v>12</v>
      </c>
      <c r="AF94" s="298"/>
      <c r="AG94" s="298"/>
      <c r="AH94" s="298"/>
      <c r="AI94" s="298"/>
      <c r="AK94" s="88">
        <v>13</v>
      </c>
      <c r="AR94" s="197" t="str">
        <f>O94</f>
        <v>白熱灯</v>
      </c>
      <c r="AS94" s="168" t="str">
        <f t="shared" si="1"/>
        <v xml:space="preserve">設置なし </v>
      </c>
      <c r="AT94" s="168">
        <f t="shared" si="2"/>
        <v>13</v>
      </c>
      <c r="AU94" s="168">
        <f t="shared" si="3"/>
        <v>12</v>
      </c>
      <c r="AV94" s="168">
        <f t="shared" si="4"/>
        <v>14</v>
      </c>
      <c r="AW94" s="168">
        <f t="shared" si="5"/>
        <v>15</v>
      </c>
      <c r="AX94" s="168">
        <f t="shared" si="6"/>
        <v>17</v>
      </c>
      <c r="AY94" s="220">
        <f>INDEX(照明設備ポイント一覧,14,AY81-2)</f>
        <v>12</v>
      </c>
    </row>
    <row r="95" spans="1:51" x14ac:dyDescent="0.4">
      <c r="A95" s="256"/>
      <c r="B95" s="130"/>
      <c r="C95" s="256"/>
      <c r="D95" s="136">
        <v>2</v>
      </c>
      <c r="E95" s="137">
        <v>14</v>
      </c>
      <c r="F95" s="257">
        <f>IF(AND(A82=4,C94=2),14,0)</f>
        <v>0</v>
      </c>
      <c r="N95" s="190"/>
      <c r="O95" s="177"/>
      <c r="P95" s="177"/>
      <c r="Q95" s="177"/>
      <c r="R95" s="177"/>
      <c r="S95" s="177"/>
      <c r="T95" s="177"/>
      <c r="U95" s="188" t="str">
        <f>IF(C94=2,"■","□")</f>
        <v>□</v>
      </c>
      <c r="V95" s="411" t="s">
        <v>70</v>
      </c>
      <c r="W95" s="411"/>
      <c r="X95" s="181"/>
      <c r="Y95" s="181"/>
      <c r="Z95" s="181"/>
      <c r="AA95" s="181"/>
      <c r="AB95" s="181"/>
      <c r="AC95" s="181"/>
      <c r="AD95" s="182"/>
      <c r="AE95" s="355">
        <f t="shared" si="7"/>
        <v>12</v>
      </c>
      <c r="AF95" s="298"/>
      <c r="AG95" s="298"/>
      <c r="AH95" s="298"/>
      <c r="AI95" s="298"/>
      <c r="AK95" s="88">
        <v>14</v>
      </c>
      <c r="AR95" s="197"/>
      <c r="AS95" s="168" t="str">
        <f t="shared" si="1"/>
        <v>LED</v>
      </c>
      <c r="AT95" s="168">
        <f t="shared" si="2"/>
        <v>14</v>
      </c>
      <c r="AU95" s="168">
        <f t="shared" si="3"/>
        <v>12</v>
      </c>
      <c r="AV95" s="168">
        <f t="shared" si="4"/>
        <v>14</v>
      </c>
      <c r="AW95" s="168">
        <f t="shared" si="5"/>
        <v>15</v>
      </c>
      <c r="AX95" s="168">
        <f t="shared" si="6"/>
        <v>17</v>
      </c>
      <c r="AY95" s="220">
        <f>INDEX(照明設備ポイント一覧,15,AY81-2)</f>
        <v>12</v>
      </c>
    </row>
    <row r="96" spans="1:51" x14ac:dyDescent="0.4">
      <c r="A96" s="256"/>
      <c r="B96" s="130"/>
      <c r="C96" s="256"/>
      <c r="D96" s="136">
        <v>3</v>
      </c>
      <c r="E96" s="137">
        <v>15</v>
      </c>
      <c r="F96" s="257">
        <f>IF(AND(A82=4,C94=3),15,0)</f>
        <v>0</v>
      </c>
      <c r="N96" s="178"/>
      <c r="O96" s="177"/>
      <c r="P96" s="177"/>
      <c r="Q96" s="177"/>
      <c r="R96" s="177"/>
      <c r="S96" s="177"/>
      <c r="T96" s="177"/>
      <c r="U96" s="188" t="str">
        <f>IF(C94=3,"■","□")</f>
        <v>□</v>
      </c>
      <c r="V96" s="411" t="s">
        <v>71</v>
      </c>
      <c r="W96" s="411"/>
      <c r="X96" s="181"/>
      <c r="Y96" s="181"/>
      <c r="Z96" s="181"/>
      <c r="AA96" s="181"/>
      <c r="AB96" s="181"/>
      <c r="AC96" s="181"/>
      <c r="AD96" s="182"/>
      <c r="AE96" s="355">
        <f t="shared" si="7"/>
        <v>13</v>
      </c>
      <c r="AF96" s="298"/>
      <c r="AG96" s="298"/>
      <c r="AH96" s="298"/>
      <c r="AI96" s="298"/>
      <c r="AK96" s="88">
        <v>15</v>
      </c>
      <c r="AR96" s="197"/>
      <c r="AS96" s="168" t="str">
        <f t="shared" si="1"/>
        <v>白熱灯以外</v>
      </c>
      <c r="AT96" s="168">
        <f t="shared" si="2"/>
        <v>15</v>
      </c>
      <c r="AU96" s="168">
        <f t="shared" si="3"/>
        <v>13</v>
      </c>
      <c r="AV96" s="168">
        <f t="shared" si="4"/>
        <v>15</v>
      </c>
      <c r="AW96" s="168">
        <f t="shared" si="5"/>
        <v>16</v>
      </c>
      <c r="AX96" s="168">
        <f t="shared" si="6"/>
        <v>18</v>
      </c>
      <c r="AY96" s="220">
        <f>INDEX(照明設備ポイント一覧,16,AY81-2)</f>
        <v>13</v>
      </c>
    </row>
    <row r="97" spans="1:51" ht="19.5" thickBot="1" x14ac:dyDescent="0.45">
      <c r="A97" s="258"/>
      <c r="B97" s="259"/>
      <c r="C97" s="258"/>
      <c r="D97" s="243">
        <v>4</v>
      </c>
      <c r="E97" s="249">
        <v>16</v>
      </c>
      <c r="F97" s="260">
        <f>IF(AND(A82=4,C94=4),16,0)</f>
        <v>0</v>
      </c>
      <c r="N97" s="174"/>
      <c r="O97" s="175"/>
      <c r="P97" s="175"/>
      <c r="Q97" s="175"/>
      <c r="R97" s="175"/>
      <c r="S97" s="175"/>
      <c r="T97" s="175"/>
      <c r="U97" s="189" t="str">
        <f>IF(C94=4,"■","□")</f>
        <v>□</v>
      </c>
      <c r="V97" s="412" t="s">
        <v>72</v>
      </c>
      <c r="W97" s="412"/>
      <c r="X97" s="183"/>
      <c r="Y97" s="183"/>
      <c r="Z97" s="183"/>
      <c r="AA97" s="183"/>
      <c r="AB97" s="183"/>
      <c r="AC97" s="183"/>
      <c r="AD97" s="184"/>
      <c r="AE97" s="355">
        <f t="shared" si="7"/>
        <v>15</v>
      </c>
      <c r="AF97" s="298"/>
      <c r="AG97" s="298"/>
      <c r="AH97" s="298"/>
      <c r="AI97" s="298"/>
      <c r="AK97" s="88">
        <v>16</v>
      </c>
      <c r="AR97" s="198"/>
      <c r="AS97" s="168" t="str">
        <f t="shared" si="1"/>
        <v>白熱灯</v>
      </c>
      <c r="AT97" s="168">
        <f t="shared" si="2"/>
        <v>16</v>
      </c>
      <c r="AU97" s="168">
        <f t="shared" si="3"/>
        <v>15</v>
      </c>
      <c r="AV97" s="168">
        <f t="shared" si="4"/>
        <v>17</v>
      </c>
      <c r="AW97" s="168">
        <f t="shared" si="5"/>
        <v>18</v>
      </c>
      <c r="AX97" s="168">
        <f t="shared" si="6"/>
        <v>21</v>
      </c>
      <c r="AY97" s="220">
        <f>INDEX(照明設備ポイント一覧,17,AY81-2)</f>
        <v>15</v>
      </c>
    </row>
    <row r="98" spans="1:51" ht="19.5" thickBot="1" x14ac:dyDescent="0.45">
      <c r="A98" s="251"/>
      <c r="B98" s="252" t="s">
        <v>276</v>
      </c>
      <c r="C98" s="252"/>
      <c r="D98" s="252"/>
      <c r="E98" s="252"/>
      <c r="F98" s="254">
        <f>SUM(F82:F97)</f>
        <v>1</v>
      </c>
      <c r="N98" s="416" t="s">
        <v>74</v>
      </c>
      <c r="O98" s="416"/>
      <c r="P98" s="416"/>
      <c r="Q98" s="416"/>
      <c r="R98" s="416"/>
      <c r="S98" s="416"/>
      <c r="T98" s="416"/>
      <c r="U98" s="416"/>
      <c r="V98" s="416"/>
      <c r="W98" s="416"/>
      <c r="X98" s="416"/>
      <c r="Y98" s="416"/>
      <c r="Z98" s="416"/>
      <c r="AA98" s="416"/>
      <c r="AB98" s="416"/>
      <c r="AC98" s="416"/>
      <c r="AD98" s="416"/>
      <c r="AE98" s="416"/>
      <c r="AF98" s="416"/>
      <c r="AG98" s="416"/>
      <c r="AH98" s="416"/>
      <c r="AI98" s="416"/>
    </row>
    <row r="99" spans="1:51" x14ac:dyDescent="0.4">
      <c r="N99" s="417"/>
      <c r="O99" s="417"/>
      <c r="P99" s="417"/>
      <c r="Q99" s="417"/>
      <c r="R99" s="417"/>
      <c r="S99" s="417"/>
      <c r="T99" s="417"/>
      <c r="U99" s="417"/>
      <c r="V99" s="417"/>
      <c r="W99" s="417"/>
      <c r="X99" s="417"/>
      <c r="Y99" s="417"/>
      <c r="Z99" s="417"/>
      <c r="AA99" s="417"/>
      <c r="AB99" s="417"/>
      <c r="AC99" s="417"/>
      <c r="AD99" s="417"/>
      <c r="AE99" s="417"/>
      <c r="AF99" s="417"/>
      <c r="AG99" s="417"/>
      <c r="AH99" s="417"/>
      <c r="AI99" s="417"/>
    </row>
    <row r="100" spans="1:51" x14ac:dyDescent="0.4">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row>
    <row r="101" spans="1:51" x14ac:dyDescent="0.4">
      <c r="N101" s="177"/>
      <c r="O101" s="177"/>
      <c r="P101" s="177"/>
      <c r="Q101" s="177"/>
      <c r="R101" s="177"/>
      <c r="S101" s="177"/>
      <c r="T101" s="177"/>
      <c r="U101" s="177"/>
      <c r="V101" s="177"/>
      <c r="W101" s="177"/>
      <c r="X101" s="177"/>
      <c r="Y101" s="177"/>
      <c r="Z101" s="177"/>
      <c r="AA101" s="177"/>
      <c r="AB101" s="177"/>
      <c r="AC101" s="177"/>
      <c r="AD101" s="177"/>
    </row>
    <row r="102" spans="1:51" x14ac:dyDescent="0.4">
      <c r="N102" s="177"/>
      <c r="O102" s="177"/>
      <c r="P102" s="177"/>
      <c r="Q102" s="177"/>
      <c r="R102" s="177"/>
      <c r="S102" s="177"/>
      <c r="T102" s="177"/>
      <c r="U102" s="177"/>
      <c r="V102" s="177"/>
      <c r="W102" s="177"/>
      <c r="X102" s="177"/>
      <c r="Y102" s="177"/>
      <c r="Z102" s="177"/>
      <c r="AA102" s="177"/>
      <c r="AB102" s="177"/>
      <c r="AC102" s="177"/>
      <c r="AD102" s="177"/>
    </row>
  </sheetData>
  <sheetProtection algorithmName="SHA-512" hashValue="M+YKt78ja/h76UjWj70uFuyiApzMJAdQ8dglKbjPjjrNBSbwtCHrBfPvXMAX1kWCAWoYPcLpzZ7hzbAK7LJZyg==" saltValue="2IQNcrfPm/GcNMNQLVLrMw==" spinCount="100000" sheet="1" selectLockedCells="1"/>
  <mergeCells count="110">
    <mergeCell ref="BA11:BC11"/>
    <mergeCell ref="BA17:BC17"/>
    <mergeCell ref="V90:W90"/>
    <mergeCell ref="AE90:AI90"/>
    <mergeCell ref="V91:W91"/>
    <mergeCell ref="AE91:AI91"/>
    <mergeCell ref="V86:W86"/>
    <mergeCell ref="N98:AI100"/>
    <mergeCell ref="V95:W95"/>
    <mergeCell ref="AE95:AI95"/>
    <mergeCell ref="V96:W96"/>
    <mergeCell ref="AE96:AI96"/>
    <mergeCell ref="V97:W97"/>
    <mergeCell ref="AE97:AI97"/>
    <mergeCell ref="V92:W92"/>
    <mergeCell ref="AE92:AI92"/>
    <mergeCell ref="V93:W93"/>
    <mergeCell ref="AE93:AI93"/>
    <mergeCell ref="V94:W94"/>
    <mergeCell ref="AE94:AI94"/>
    <mergeCell ref="V88:W88"/>
    <mergeCell ref="AE88:AI88"/>
    <mergeCell ref="V89:W89"/>
    <mergeCell ref="AE89:AI89"/>
    <mergeCell ref="AE86:AI86"/>
    <mergeCell ref="V87:W87"/>
    <mergeCell ref="AE87:AI87"/>
    <mergeCell ref="AE82:AI82"/>
    <mergeCell ref="U81:AD81"/>
    <mergeCell ref="V83:W83"/>
    <mergeCell ref="V84:W84"/>
    <mergeCell ref="V85:W85"/>
    <mergeCell ref="AE83:AI83"/>
    <mergeCell ref="AE84:AI84"/>
    <mergeCell ref="AE85:AI85"/>
    <mergeCell ref="V82:W82"/>
    <mergeCell ref="M78:AJ79"/>
    <mergeCell ref="N81:T81"/>
    <mergeCell ref="AE58:AI58"/>
    <mergeCell ref="N80:AD80"/>
    <mergeCell ref="AE80:AI81"/>
    <mergeCell ref="O71:AJ73"/>
    <mergeCell ref="AE65:AI65"/>
    <mergeCell ref="AE66:AI66"/>
    <mergeCell ref="AE67:AI67"/>
    <mergeCell ref="N69:AJ70"/>
    <mergeCell ref="AE64:AI64"/>
    <mergeCell ref="AE59:AI59"/>
    <mergeCell ref="AE60:AI60"/>
    <mergeCell ref="AE61:AI61"/>
    <mergeCell ref="AE62:AI62"/>
    <mergeCell ref="AE48:AI48"/>
    <mergeCell ref="AE56:AI56"/>
    <mergeCell ref="Z56:AD56"/>
    <mergeCell ref="AE63:AI63"/>
    <mergeCell ref="AE57:AI57"/>
    <mergeCell ref="Z57:AD57"/>
    <mergeCell ref="U14:AJ14"/>
    <mergeCell ref="P17:AJ17"/>
    <mergeCell ref="L23:AJ23"/>
    <mergeCell ref="L24:AJ24"/>
    <mergeCell ref="AE37:AI38"/>
    <mergeCell ref="AE49:AI49"/>
    <mergeCell ref="AE50:AI50"/>
    <mergeCell ref="AE51:AI51"/>
    <mergeCell ref="AE52:AI52"/>
    <mergeCell ref="L28:T32"/>
    <mergeCell ref="AE41:AI41"/>
    <mergeCell ref="AE42:AI42"/>
    <mergeCell ref="AE44:AI44"/>
    <mergeCell ref="AE45:AI45"/>
    <mergeCell ref="L25:AJ25"/>
    <mergeCell ref="AH3:AI3"/>
    <mergeCell ref="AF1:AJ1"/>
    <mergeCell ref="L4:N4"/>
    <mergeCell ref="O4:Q4"/>
    <mergeCell ref="L7:AJ7"/>
    <mergeCell ref="L6:AJ6"/>
    <mergeCell ref="L13:T13"/>
    <mergeCell ref="L11:T11"/>
    <mergeCell ref="L10:T10"/>
    <mergeCell ref="L9:T9"/>
    <mergeCell ref="U9:AJ9"/>
    <mergeCell ref="U10:AJ10"/>
    <mergeCell ref="U11:AJ11"/>
    <mergeCell ref="Y13:Z13"/>
    <mergeCell ref="AU80:AX80"/>
    <mergeCell ref="G13:J13"/>
    <mergeCell ref="F14:F15"/>
    <mergeCell ref="F16:F17"/>
    <mergeCell ref="F18:F19"/>
    <mergeCell ref="F20:F21"/>
    <mergeCell ref="F22:F23"/>
    <mergeCell ref="AE34:AI36"/>
    <mergeCell ref="AE28:AI28"/>
    <mergeCell ref="AE29:AI29"/>
    <mergeCell ref="AE30:AI30"/>
    <mergeCell ref="AE31:AI31"/>
    <mergeCell ref="AE32:AI32"/>
    <mergeCell ref="AE20:AI20"/>
    <mergeCell ref="AE21:AI21"/>
    <mergeCell ref="AE22:AI22"/>
    <mergeCell ref="L15:O16"/>
    <mergeCell ref="P15:T15"/>
    <mergeCell ref="P16:T16"/>
    <mergeCell ref="V15:AI15"/>
    <mergeCell ref="V16:AI16"/>
    <mergeCell ref="C26:I26"/>
    <mergeCell ref="N56:Y56"/>
    <mergeCell ref="N48:AD48"/>
  </mergeCells>
  <phoneticPr fontId="1"/>
  <dataValidations count="1">
    <dataValidation type="list" allowBlank="1" showInputMessage="1" showErrorMessage="1" sqref="V15:AI15" xr:uid="{FFD3A75C-480D-4EE7-96B6-A041D3952F28}">
      <formula1>暖房設備リスト</formula1>
    </dataValidation>
  </dataValidations>
  <pageMargins left="0.70866141732283472" right="0.70866141732283472" top="0.74803149606299213" bottom="0.55118110236220474" header="0.31496062992125984" footer="0.31496062992125984"/>
  <pageSetup paperSize="9" orientation="portrait" blackAndWhite="1" r:id="rId1"/>
  <headerFooter>
    <oddFooter>&amp;P / &amp;N ページ</oddFooter>
  </headerFooter>
  <rowBreaks count="2" manualBreakCount="2">
    <brk id="38" min="11" max="35" man="1"/>
    <brk id="75" min="1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print="0" autoFill="0" autoLine="0" autoPict="0">
                <anchor moveWithCells="1">
                  <from>
                    <xdr:col>13</xdr:col>
                    <xdr:colOff>19050</xdr:colOff>
                    <xdr:row>48</xdr:row>
                    <xdr:rowOff>19050</xdr:rowOff>
                  </from>
                  <to>
                    <xdr:col>14</xdr:col>
                    <xdr:colOff>28575</xdr:colOff>
                    <xdr:row>49</xdr:row>
                    <xdr:rowOff>0</xdr:rowOff>
                  </to>
                </anchor>
              </controlPr>
            </control>
          </mc:Choice>
        </mc:AlternateContent>
        <mc:AlternateContent xmlns:mc="http://schemas.openxmlformats.org/markup-compatibility/2006">
          <mc:Choice Requires="x14">
            <control shapeId="1028" r:id="rId5" name="Option Button 4">
              <controlPr defaultSize="0" print="0" autoFill="0" autoLine="0" autoPict="0">
                <anchor moveWithCells="1">
                  <from>
                    <xdr:col>13</xdr:col>
                    <xdr:colOff>9525</xdr:colOff>
                    <xdr:row>49</xdr:row>
                    <xdr:rowOff>47625</xdr:rowOff>
                  </from>
                  <to>
                    <xdr:col>14</xdr:col>
                    <xdr:colOff>28575</xdr:colOff>
                    <xdr:row>49</xdr:row>
                    <xdr:rowOff>200025</xdr:rowOff>
                  </to>
                </anchor>
              </controlPr>
            </control>
          </mc:Choice>
        </mc:AlternateContent>
        <mc:AlternateContent xmlns:mc="http://schemas.openxmlformats.org/markup-compatibility/2006">
          <mc:Choice Requires="x14">
            <control shapeId="1029" r:id="rId6" name="Option Button 5">
              <controlPr defaultSize="0" print="0" autoFill="0" autoLine="0" autoPict="0">
                <anchor moveWithCells="1">
                  <from>
                    <xdr:col>13</xdr:col>
                    <xdr:colOff>19050</xdr:colOff>
                    <xdr:row>50</xdr:row>
                    <xdr:rowOff>57150</xdr:rowOff>
                  </from>
                  <to>
                    <xdr:col>14</xdr:col>
                    <xdr:colOff>0</xdr:colOff>
                    <xdr:row>50</xdr:row>
                    <xdr:rowOff>180975</xdr:rowOff>
                  </to>
                </anchor>
              </controlPr>
            </control>
          </mc:Choice>
        </mc:AlternateContent>
        <mc:AlternateContent xmlns:mc="http://schemas.openxmlformats.org/markup-compatibility/2006">
          <mc:Choice Requires="x14">
            <control shapeId="1030" r:id="rId7" name="Option Button 6">
              <controlPr defaultSize="0" print="0" autoFill="0" autoLine="0" autoPict="0">
                <anchor moveWithCells="1">
                  <from>
                    <xdr:col>13</xdr:col>
                    <xdr:colOff>19050</xdr:colOff>
                    <xdr:row>51</xdr:row>
                    <xdr:rowOff>28575</xdr:rowOff>
                  </from>
                  <to>
                    <xdr:col>13</xdr:col>
                    <xdr:colOff>228600</xdr:colOff>
                    <xdr:row>51</xdr:row>
                    <xdr:rowOff>200025</xdr:rowOff>
                  </to>
                </anchor>
              </controlPr>
            </control>
          </mc:Choice>
        </mc:AlternateContent>
        <mc:AlternateContent xmlns:mc="http://schemas.openxmlformats.org/markup-compatibility/2006">
          <mc:Choice Requires="x14">
            <control shapeId="1031" r:id="rId8" name="Group Box 7">
              <controlPr defaultSize="0" print="0" autoFill="0" autoPict="0">
                <anchor moveWithCells="1">
                  <from>
                    <xdr:col>12</xdr:col>
                    <xdr:colOff>228600</xdr:colOff>
                    <xdr:row>47</xdr:row>
                    <xdr:rowOff>0</xdr:rowOff>
                  </from>
                  <to>
                    <xdr:col>30</xdr:col>
                    <xdr:colOff>19050</xdr:colOff>
                    <xdr:row>52</xdr:row>
                    <xdr:rowOff>0</xdr:rowOff>
                  </to>
                </anchor>
              </controlPr>
            </control>
          </mc:Choice>
        </mc:AlternateContent>
        <mc:AlternateContent xmlns:mc="http://schemas.openxmlformats.org/markup-compatibility/2006">
          <mc:Choice Requires="x14">
            <control shapeId="1032" r:id="rId9" name="Option Button 8">
              <controlPr defaultSize="0" print="0" autoFill="0" autoLine="0" autoPict="0">
                <anchor moveWithCells="1">
                  <from>
                    <xdr:col>13</xdr:col>
                    <xdr:colOff>28575</xdr:colOff>
                    <xdr:row>56</xdr:row>
                    <xdr:rowOff>19050</xdr:rowOff>
                  </from>
                  <to>
                    <xdr:col>14</xdr:col>
                    <xdr:colOff>19050</xdr:colOff>
                    <xdr:row>56</xdr:row>
                    <xdr:rowOff>219075</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13</xdr:col>
                    <xdr:colOff>28575</xdr:colOff>
                    <xdr:row>57</xdr:row>
                    <xdr:rowOff>28575</xdr:rowOff>
                  </from>
                  <to>
                    <xdr:col>14</xdr:col>
                    <xdr:colOff>114300</xdr:colOff>
                    <xdr:row>57</xdr:row>
                    <xdr:rowOff>200025</xdr:rowOff>
                  </to>
                </anchor>
              </controlPr>
            </control>
          </mc:Choice>
        </mc:AlternateContent>
        <mc:AlternateContent xmlns:mc="http://schemas.openxmlformats.org/markup-compatibility/2006">
          <mc:Choice Requires="x14">
            <control shapeId="1034" r:id="rId11" name="Option Button 10">
              <controlPr defaultSize="0" print="0" autoFill="0" autoLine="0" autoPict="0">
                <anchor moveWithCells="1">
                  <from>
                    <xdr:col>13</xdr:col>
                    <xdr:colOff>19050</xdr:colOff>
                    <xdr:row>59</xdr:row>
                    <xdr:rowOff>47625</xdr:rowOff>
                  </from>
                  <to>
                    <xdr:col>14</xdr:col>
                    <xdr:colOff>19050</xdr:colOff>
                    <xdr:row>59</xdr:row>
                    <xdr:rowOff>209550</xdr:rowOff>
                  </to>
                </anchor>
              </controlPr>
            </control>
          </mc:Choice>
        </mc:AlternateContent>
        <mc:AlternateContent xmlns:mc="http://schemas.openxmlformats.org/markup-compatibility/2006">
          <mc:Choice Requires="x14">
            <control shapeId="1035" r:id="rId12" name="Option Button 11">
              <controlPr defaultSize="0" print="0" autoFill="0" autoLine="0" autoPict="0">
                <anchor moveWithCells="1">
                  <from>
                    <xdr:col>13</xdr:col>
                    <xdr:colOff>19050</xdr:colOff>
                    <xdr:row>61</xdr:row>
                    <xdr:rowOff>38100</xdr:rowOff>
                  </from>
                  <to>
                    <xdr:col>13</xdr:col>
                    <xdr:colOff>219075</xdr:colOff>
                    <xdr:row>61</xdr:row>
                    <xdr:rowOff>200025</xdr:rowOff>
                  </to>
                </anchor>
              </controlPr>
            </control>
          </mc:Choice>
        </mc:AlternateContent>
        <mc:AlternateContent xmlns:mc="http://schemas.openxmlformats.org/markup-compatibility/2006">
          <mc:Choice Requires="x14">
            <control shapeId="1036" r:id="rId13" name="Option Button 12">
              <controlPr defaultSize="0" print="0" autoFill="0" autoLine="0" autoPict="0" altText="">
                <anchor moveWithCells="1">
                  <from>
                    <xdr:col>13</xdr:col>
                    <xdr:colOff>19050</xdr:colOff>
                    <xdr:row>63</xdr:row>
                    <xdr:rowOff>19050</xdr:rowOff>
                  </from>
                  <to>
                    <xdr:col>14</xdr:col>
                    <xdr:colOff>19050</xdr:colOff>
                    <xdr:row>63</xdr:row>
                    <xdr:rowOff>200025</xdr:rowOff>
                  </to>
                </anchor>
              </controlPr>
            </control>
          </mc:Choice>
        </mc:AlternateContent>
        <mc:AlternateContent xmlns:mc="http://schemas.openxmlformats.org/markup-compatibility/2006">
          <mc:Choice Requires="x14">
            <control shapeId="1037" r:id="rId14" name="Option Button 13">
              <controlPr defaultSize="0" print="0" autoFill="0" autoLine="0" autoPict="0">
                <anchor moveWithCells="1">
                  <from>
                    <xdr:col>13</xdr:col>
                    <xdr:colOff>19050</xdr:colOff>
                    <xdr:row>65</xdr:row>
                    <xdr:rowOff>28575</xdr:rowOff>
                  </from>
                  <to>
                    <xdr:col>14</xdr:col>
                    <xdr:colOff>19050</xdr:colOff>
                    <xdr:row>65</xdr:row>
                    <xdr:rowOff>200025</xdr:rowOff>
                  </to>
                </anchor>
              </controlPr>
            </control>
          </mc:Choice>
        </mc:AlternateContent>
        <mc:AlternateContent xmlns:mc="http://schemas.openxmlformats.org/markup-compatibility/2006">
          <mc:Choice Requires="x14">
            <control shapeId="1038" r:id="rId15" name="Group Box 14">
              <controlPr defaultSize="0" print="0" autoFill="0" autoPict="0">
                <anchor moveWithCells="1">
                  <from>
                    <xdr:col>12</xdr:col>
                    <xdr:colOff>238125</xdr:colOff>
                    <xdr:row>56</xdr:row>
                    <xdr:rowOff>0</xdr:rowOff>
                  </from>
                  <to>
                    <xdr:col>25</xdr:col>
                    <xdr:colOff>9525</xdr:colOff>
                    <xdr:row>66</xdr:row>
                    <xdr:rowOff>238125</xdr:rowOff>
                  </to>
                </anchor>
              </controlPr>
            </control>
          </mc:Choice>
        </mc:AlternateContent>
        <mc:AlternateContent xmlns:mc="http://schemas.openxmlformats.org/markup-compatibility/2006">
          <mc:Choice Requires="x14">
            <control shapeId="1039" r:id="rId16" name="Option Button 15">
              <controlPr defaultSize="0" print="0" autoFill="0" autoLine="0" autoPict="0">
                <anchor moveWithCells="1">
                  <from>
                    <xdr:col>25</xdr:col>
                    <xdr:colOff>19050</xdr:colOff>
                    <xdr:row>57</xdr:row>
                    <xdr:rowOff>28575</xdr:rowOff>
                  </from>
                  <to>
                    <xdr:col>26</xdr:col>
                    <xdr:colOff>38100</xdr:colOff>
                    <xdr:row>57</xdr:row>
                    <xdr:rowOff>209550</xdr:rowOff>
                  </to>
                </anchor>
              </controlPr>
            </control>
          </mc:Choice>
        </mc:AlternateContent>
        <mc:AlternateContent xmlns:mc="http://schemas.openxmlformats.org/markup-compatibility/2006">
          <mc:Choice Requires="x14">
            <control shapeId="1040" r:id="rId17" name="Option Button 16">
              <controlPr defaultSize="0" print="0" autoFill="0" autoLine="0" autoPict="0">
                <anchor moveWithCells="1">
                  <from>
                    <xdr:col>25</xdr:col>
                    <xdr:colOff>19050</xdr:colOff>
                    <xdr:row>58</xdr:row>
                    <xdr:rowOff>38100</xdr:rowOff>
                  </from>
                  <to>
                    <xdr:col>25</xdr:col>
                    <xdr:colOff>219075</xdr:colOff>
                    <xdr:row>58</xdr:row>
                    <xdr:rowOff>190500</xdr:rowOff>
                  </to>
                </anchor>
              </controlPr>
            </control>
          </mc:Choice>
        </mc:AlternateContent>
        <mc:AlternateContent xmlns:mc="http://schemas.openxmlformats.org/markup-compatibility/2006">
          <mc:Choice Requires="x14">
            <control shapeId="1042" r:id="rId18" name="Group Box 18">
              <controlPr defaultSize="0" print="0" autoFill="0" autoPict="0">
                <anchor moveWithCells="1">
                  <from>
                    <xdr:col>25</xdr:col>
                    <xdr:colOff>0</xdr:colOff>
                    <xdr:row>57</xdr:row>
                    <xdr:rowOff>0</xdr:rowOff>
                  </from>
                  <to>
                    <xdr:col>30</xdr:col>
                    <xdr:colOff>0</xdr:colOff>
                    <xdr:row>59</xdr:row>
                    <xdr:rowOff>0</xdr:rowOff>
                  </to>
                </anchor>
              </controlPr>
            </control>
          </mc:Choice>
        </mc:AlternateContent>
        <mc:AlternateContent xmlns:mc="http://schemas.openxmlformats.org/markup-compatibility/2006">
          <mc:Choice Requires="x14">
            <control shapeId="1043" r:id="rId19" name="Option Button 19">
              <controlPr defaultSize="0" print="0" autoFill="0" autoLine="0" autoPict="0">
                <anchor moveWithCells="1">
                  <from>
                    <xdr:col>25</xdr:col>
                    <xdr:colOff>19050</xdr:colOff>
                    <xdr:row>59</xdr:row>
                    <xdr:rowOff>19050</xdr:rowOff>
                  </from>
                  <to>
                    <xdr:col>26</xdr:col>
                    <xdr:colOff>0</xdr:colOff>
                    <xdr:row>59</xdr:row>
                    <xdr:rowOff>209550</xdr:rowOff>
                  </to>
                </anchor>
              </controlPr>
            </control>
          </mc:Choice>
        </mc:AlternateContent>
        <mc:AlternateContent xmlns:mc="http://schemas.openxmlformats.org/markup-compatibility/2006">
          <mc:Choice Requires="x14">
            <control shapeId="1044" r:id="rId20" name="Option Button 20">
              <controlPr defaultSize="0" print="0" autoFill="0" autoLine="0" autoPict="0">
                <anchor moveWithCells="1">
                  <from>
                    <xdr:col>25</xdr:col>
                    <xdr:colOff>19050</xdr:colOff>
                    <xdr:row>60</xdr:row>
                    <xdr:rowOff>28575</xdr:rowOff>
                  </from>
                  <to>
                    <xdr:col>25</xdr:col>
                    <xdr:colOff>219075</xdr:colOff>
                    <xdr:row>60</xdr:row>
                    <xdr:rowOff>209550</xdr:rowOff>
                  </to>
                </anchor>
              </controlPr>
            </control>
          </mc:Choice>
        </mc:AlternateContent>
        <mc:AlternateContent xmlns:mc="http://schemas.openxmlformats.org/markup-compatibility/2006">
          <mc:Choice Requires="x14">
            <control shapeId="1045" r:id="rId21" name="Group Box 21">
              <controlPr defaultSize="0" print="0" autoFill="0" autoPict="0">
                <anchor moveWithCells="1">
                  <from>
                    <xdr:col>25</xdr:col>
                    <xdr:colOff>0</xdr:colOff>
                    <xdr:row>59</xdr:row>
                    <xdr:rowOff>0</xdr:rowOff>
                  </from>
                  <to>
                    <xdr:col>30</xdr:col>
                    <xdr:colOff>0</xdr:colOff>
                    <xdr:row>61</xdr:row>
                    <xdr:rowOff>0</xdr:rowOff>
                  </to>
                </anchor>
              </controlPr>
            </control>
          </mc:Choice>
        </mc:AlternateContent>
        <mc:AlternateContent xmlns:mc="http://schemas.openxmlformats.org/markup-compatibility/2006">
          <mc:Choice Requires="x14">
            <control shapeId="1046" r:id="rId22" name="Option Button 22">
              <controlPr defaultSize="0" print="0" autoFill="0" autoLine="0" autoPict="0">
                <anchor moveWithCells="1">
                  <from>
                    <xdr:col>25</xdr:col>
                    <xdr:colOff>19050</xdr:colOff>
                    <xdr:row>61</xdr:row>
                    <xdr:rowOff>28575</xdr:rowOff>
                  </from>
                  <to>
                    <xdr:col>25</xdr:col>
                    <xdr:colOff>209550</xdr:colOff>
                    <xdr:row>61</xdr:row>
                    <xdr:rowOff>209550</xdr:rowOff>
                  </to>
                </anchor>
              </controlPr>
            </control>
          </mc:Choice>
        </mc:AlternateContent>
        <mc:AlternateContent xmlns:mc="http://schemas.openxmlformats.org/markup-compatibility/2006">
          <mc:Choice Requires="x14">
            <control shapeId="1047" r:id="rId23" name="Option Button 23">
              <controlPr defaultSize="0" print="0" autoFill="0" autoLine="0" autoPict="0">
                <anchor moveWithCells="1">
                  <from>
                    <xdr:col>25</xdr:col>
                    <xdr:colOff>19050</xdr:colOff>
                    <xdr:row>62</xdr:row>
                    <xdr:rowOff>47625</xdr:rowOff>
                  </from>
                  <to>
                    <xdr:col>25</xdr:col>
                    <xdr:colOff>209550</xdr:colOff>
                    <xdr:row>62</xdr:row>
                    <xdr:rowOff>180975</xdr:rowOff>
                  </to>
                </anchor>
              </controlPr>
            </control>
          </mc:Choice>
        </mc:AlternateContent>
        <mc:AlternateContent xmlns:mc="http://schemas.openxmlformats.org/markup-compatibility/2006">
          <mc:Choice Requires="x14">
            <control shapeId="1048" r:id="rId24" name="Group Box 24">
              <controlPr defaultSize="0" print="0" autoFill="0" autoPict="0">
                <anchor moveWithCells="1">
                  <from>
                    <xdr:col>25</xdr:col>
                    <xdr:colOff>0</xdr:colOff>
                    <xdr:row>61</xdr:row>
                    <xdr:rowOff>9525</xdr:rowOff>
                  </from>
                  <to>
                    <xdr:col>30</xdr:col>
                    <xdr:colOff>0</xdr:colOff>
                    <xdr:row>63</xdr:row>
                    <xdr:rowOff>9525</xdr:rowOff>
                  </to>
                </anchor>
              </controlPr>
            </control>
          </mc:Choice>
        </mc:AlternateContent>
        <mc:AlternateContent xmlns:mc="http://schemas.openxmlformats.org/markup-compatibility/2006">
          <mc:Choice Requires="x14">
            <control shapeId="1049" r:id="rId25" name="Option Button 25">
              <controlPr defaultSize="0" print="0" autoFill="0" autoLine="0" autoPict="0">
                <anchor moveWithCells="1">
                  <from>
                    <xdr:col>25</xdr:col>
                    <xdr:colOff>19050</xdr:colOff>
                    <xdr:row>63</xdr:row>
                    <xdr:rowOff>19050</xdr:rowOff>
                  </from>
                  <to>
                    <xdr:col>26</xdr:col>
                    <xdr:colOff>19050</xdr:colOff>
                    <xdr:row>63</xdr:row>
                    <xdr:rowOff>209550</xdr:rowOff>
                  </to>
                </anchor>
              </controlPr>
            </control>
          </mc:Choice>
        </mc:AlternateContent>
        <mc:AlternateContent xmlns:mc="http://schemas.openxmlformats.org/markup-compatibility/2006">
          <mc:Choice Requires="x14">
            <control shapeId="1050" r:id="rId26" name="Option Button 26">
              <controlPr defaultSize="0" print="0" autoFill="0" autoLine="0" autoPict="0">
                <anchor moveWithCells="1">
                  <from>
                    <xdr:col>25</xdr:col>
                    <xdr:colOff>19050</xdr:colOff>
                    <xdr:row>64</xdr:row>
                    <xdr:rowOff>19050</xdr:rowOff>
                  </from>
                  <to>
                    <xdr:col>26</xdr:col>
                    <xdr:colOff>19050</xdr:colOff>
                    <xdr:row>64</xdr:row>
                    <xdr:rowOff>219075</xdr:rowOff>
                  </to>
                </anchor>
              </controlPr>
            </control>
          </mc:Choice>
        </mc:AlternateContent>
        <mc:AlternateContent xmlns:mc="http://schemas.openxmlformats.org/markup-compatibility/2006">
          <mc:Choice Requires="x14">
            <control shapeId="1051" r:id="rId27" name="Group Box 27">
              <controlPr defaultSize="0" print="0" autoFill="0" autoPict="0">
                <anchor moveWithCells="1">
                  <from>
                    <xdr:col>25</xdr:col>
                    <xdr:colOff>0</xdr:colOff>
                    <xdr:row>63</xdr:row>
                    <xdr:rowOff>9525</xdr:rowOff>
                  </from>
                  <to>
                    <xdr:col>30</xdr:col>
                    <xdr:colOff>0</xdr:colOff>
                    <xdr:row>65</xdr:row>
                    <xdr:rowOff>9525</xdr:rowOff>
                  </to>
                </anchor>
              </controlPr>
            </control>
          </mc:Choice>
        </mc:AlternateContent>
        <mc:AlternateContent xmlns:mc="http://schemas.openxmlformats.org/markup-compatibility/2006">
          <mc:Choice Requires="x14">
            <control shapeId="1052" r:id="rId28" name="Option Button 28">
              <controlPr defaultSize="0" print="0" autoFill="0" autoLine="0" autoPict="0">
                <anchor moveWithCells="1">
                  <from>
                    <xdr:col>25</xdr:col>
                    <xdr:colOff>28575</xdr:colOff>
                    <xdr:row>65</xdr:row>
                    <xdr:rowOff>38100</xdr:rowOff>
                  </from>
                  <to>
                    <xdr:col>25</xdr:col>
                    <xdr:colOff>219075</xdr:colOff>
                    <xdr:row>65</xdr:row>
                    <xdr:rowOff>200025</xdr:rowOff>
                  </to>
                </anchor>
              </controlPr>
            </control>
          </mc:Choice>
        </mc:AlternateContent>
        <mc:AlternateContent xmlns:mc="http://schemas.openxmlformats.org/markup-compatibility/2006">
          <mc:Choice Requires="x14">
            <control shapeId="1053" r:id="rId29" name="Option Button 29">
              <controlPr defaultSize="0" print="0" autoFill="0" autoLine="0" autoPict="0">
                <anchor moveWithCells="1">
                  <from>
                    <xdr:col>25</xdr:col>
                    <xdr:colOff>28575</xdr:colOff>
                    <xdr:row>66</xdr:row>
                    <xdr:rowOff>28575</xdr:rowOff>
                  </from>
                  <to>
                    <xdr:col>26</xdr:col>
                    <xdr:colOff>47625</xdr:colOff>
                    <xdr:row>66</xdr:row>
                    <xdr:rowOff>209550</xdr:rowOff>
                  </to>
                </anchor>
              </controlPr>
            </control>
          </mc:Choice>
        </mc:AlternateContent>
        <mc:AlternateContent xmlns:mc="http://schemas.openxmlformats.org/markup-compatibility/2006">
          <mc:Choice Requires="x14">
            <control shapeId="1054" r:id="rId30" name="Group Box 30">
              <controlPr defaultSize="0" print="0" autoFill="0" autoPict="0">
                <anchor moveWithCells="1">
                  <from>
                    <xdr:col>25</xdr:col>
                    <xdr:colOff>0</xdr:colOff>
                    <xdr:row>65</xdr:row>
                    <xdr:rowOff>0</xdr:rowOff>
                  </from>
                  <to>
                    <xdr:col>30</xdr:col>
                    <xdr:colOff>9525</xdr:colOff>
                    <xdr:row>66</xdr:row>
                    <xdr:rowOff>238125</xdr:rowOff>
                  </to>
                </anchor>
              </controlPr>
            </control>
          </mc:Choice>
        </mc:AlternateContent>
        <mc:AlternateContent xmlns:mc="http://schemas.openxmlformats.org/markup-compatibility/2006">
          <mc:Choice Requires="x14">
            <control shapeId="1055" r:id="rId31" name="Option Button 31">
              <controlPr defaultSize="0" print="0" autoFill="0" autoLine="0" autoPict="0">
                <anchor moveWithCells="1">
                  <from>
                    <xdr:col>13</xdr:col>
                    <xdr:colOff>28575</xdr:colOff>
                    <xdr:row>81</xdr:row>
                    <xdr:rowOff>9525</xdr:rowOff>
                  </from>
                  <to>
                    <xdr:col>14</xdr:col>
                    <xdr:colOff>19050</xdr:colOff>
                    <xdr:row>81</xdr:row>
                    <xdr:rowOff>219075</xdr:rowOff>
                  </to>
                </anchor>
              </controlPr>
            </control>
          </mc:Choice>
        </mc:AlternateContent>
        <mc:AlternateContent xmlns:mc="http://schemas.openxmlformats.org/markup-compatibility/2006">
          <mc:Choice Requires="x14">
            <control shapeId="1056" r:id="rId32" name="Option Button 32">
              <controlPr defaultSize="0" print="0" autoFill="0" autoLine="0" autoPict="0">
                <anchor moveWithCells="1">
                  <from>
                    <xdr:col>13</xdr:col>
                    <xdr:colOff>19050</xdr:colOff>
                    <xdr:row>85</xdr:row>
                    <xdr:rowOff>19050</xdr:rowOff>
                  </from>
                  <to>
                    <xdr:col>14</xdr:col>
                    <xdr:colOff>19050</xdr:colOff>
                    <xdr:row>85</xdr:row>
                    <xdr:rowOff>209550</xdr:rowOff>
                  </to>
                </anchor>
              </controlPr>
            </control>
          </mc:Choice>
        </mc:AlternateContent>
        <mc:AlternateContent xmlns:mc="http://schemas.openxmlformats.org/markup-compatibility/2006">
          <mc:Choice Requires="x14">
            <control shapeId="1057" r:id="rId33" name="Option Button 33">
              <controlPr defaultSize="0" print="0" autoFill="0" autoLine="0" autoPict="0">
                <anchor moveWithCells="1">
                  <from>
                    <xdr:col>13</xdr:col>
                    <xdr:colOff>19050</xdr:colOff>
                    <xdr:row>89</xdr:row>
                    <xdr:rowOff>9525</xdr:rowOff>
                  </from>
                  <to>
                    <xdr:col>14</xdr:col>
                    <xdr:colOff>9525</xdr:colOff>
                    <xdr:row>89</xdr:row>
                    <xdr:rowOff>228600</xdr:rowOff>
                  </to>
                </anchor>
              </controlPr>
            </control>
          </mc:Choice>
        </mc:AlternateContent>
        <mc:AlternateContent xmlns:mc="http://schemas.openxmlformats.org/markup-compatibility/2006">
          <mc:Choice Requires="x14">
            <control shapeId="1058" r:id="rId34" name="Option Button 34">
              <controlPr defaultSize="0" print="0" autoFill="0" autoLine="0" autoPict="0">
                <anchor moveWithCells="1">
                  <from>
                    <xdr:col>13</xdr:col>
                    <xdr:colOff>19050</xdr:colOff>
                    <xdr:row>93</xdr:row>
                    <xdr:rowOff>38100</xdr:rowOff>
                  </from>
                  <to>
                    <xdr:col>14</xdr:col>
                    <xdr:colOff>66675</xdr:colOff>
                    <xdr:row>93</xdr:row>
                    <xdr:rowOff>209550</xdr:rowOff>
                  </to>
                </anchor>
              </controlPr>
            </control>
          </mc:Choice>
        </mc:AlternateContent>
        <mc:AlternateContent xmlns:mc="http://schemas.openxmlformats.org/markup-compatibility/2006">
          <mc:Choice Requires="x14">
            <control shapeId="1059" r:id="rId35" name="Group Box 35">
              <controlPr defaultSize="0" print="0" autoFill="0" autoPict="0">
                <anchor moveWithCells="1">
                  <from>
                    <xdr:col>13</xdr:col>
                    <xdr:colOff>9525</xdr:colOff>
                    <xdr:row>81</xdr:row>
                    <xdr:rowOff>9525</xdr:rowOff>
                  </from>
                  <to>
                    <xdr:col>20</xdr:col>
                    <xdr:colOff>0</xdr:colOff>
                    <xdr:row>96</xdr:row>
                    <xdr:rowOff>238125</xdr:rowOff>
                  </to>
                </anchor>
              </controlPr>
            </control>
          </mc:Choice>
        </mc:AlternateContent>
        <mc:AlternateContent xmlns:mc="http://schemas.openxmlformats.org/markup-compatibility/2006">
          <mc:Choice Requires="x14">
            <control shapeId="1060" r:id="rId36" name="Option Button 36">
              <controlPr defaultSize="0" print="0" autoFill="0" autoLine="0" autoPict="0">
                <anchor moveWithCells="1">
                  <from>
                    <xdr:col>20</xdr:col>
                    <xdr:colOff>19050</xdr:colOff>
                    <xdr:row>81</xdr:row>
                    <xdr:rowOff>9525</xdr:rowOff>
                  </from>
                  <to>
                    <xdr:col>21</xdr:col>
                    <xdr:colOff>38100</xdr:colOff>
                    <xdr:row>81</xdr:row>
                    <xdr:rowOff>209550</xdr:rowOff>
                  </to>
                </anchor>
              </controlPr>
            </control>
          </mc:Choice>
        </mc:AlternateContent>
        <mc:AlternateContent xmlns:mc="http://schemas.openxmlformats.org/markup-compatibility/2006">
          <mc:Choice Requires="x14">
            <control shapeId="1061" r:id="rId37" name="Option Button 37">
              <controlPr defaultSize="0" print="0" autoFill="0" autoLine="0" autoPict="0">
                <anchor moveWithCells="1">
                  <from>
                    <xdr:col>20</xdr:col>
                    <xdr:colOff>9525</xdr:colOff>
                    <xdr:row>82</xdr:row>
                    <xdr:rowOff>19050</xdr:rowOff>
                  </from>
                  <to>
                    <xdr:col>21</xdr:col>
                    <xdr:colOff>28575</xdr:colOff>
                    <xdr:row>82</xdr:row>
                    <xdr:rowOff>209550</xdr:rowOff>
                  </to>
                </anchor>
              </controlPr>
            </control>
          </mc:Choice>
        </mc:AlternateContent>
        <mc:AlternateContent xmlns:mc="http://schemas.openxmlformats.org/markup-compatibility/2006">
          <mc:Choice Requires="x14">
            <control shapeId="1062" r:id="rId38" name="Option Button 38">
              <controlPr defaultSize="0" print="0" autoFill="0" autoLine="0" autoPict="0">
                <anchor moveWithCells="1">
                  <from>
                    <xdr:col>20</xdr:col>
                    <xdr:colOff>19050</xdr:colOff>
                    <xdr:row>83</xdr:row>
                    <xdr:rowOff>19050</xdr:rowOff>
                  </from>
                  <to>
                    <xdr:col>21</xdr:col>
                    <xdr:colOff>0</xdr:colOff>
                    <xdr:row>83</xdr:row>
                    <xdr:rowOff>200025</xdr:rowOff>
                  </to>
                </anchor>
              </controlPr>
            </control>
          </mc:Choice>
        </mc:AlternateContent>
        <mc:AlternateContent xmlns:mc="http://schemas.openxmlformats.org/markup-compatibility/2006">
          <mc:Choice Requires="x14">
            <control shapeId="1063" r:id="rId39" name="Option Button 39">
              <controlPr defaultSize="0" print="0" autoFill="0" autoLine="0" autoPict="0">
                <anchor moveWithCells="1">
                  <from>
                    <xdr:col>20</xdr:col>
                    <xdr:colOff>9525</xdr:colOff>
                    <xdr:row>84</xdr:row>
                    <xdr:rowOff>9525</xdr:rowOff>
                  </from>
                  <to>
                    <xdr:col>21</xdr:col>
                    <xdr:colOff>57150</xdr:colOff>
                    <xdr:row>84</xdr:row>
                    <xdr:rowOff>200025</xdr:rowOff>
                  </to>
                </anchor>
              </controlPr>
            </control>
          </mc:Choice>
        </mc:AlternateContent>
        <mc:AlternateContent xmlns:mc="http://schemas.openxmlformats.org/markup-compatibility/2006">
          <mc:Choice Requires="x14">
            <control shapeId="1064" r:id="rId40" name="Group Box 40">
              <controlPr defaultSize="0" print="0" autoFill="0" autoPict="0">
                <anchor moveWithCells="1">
                  <from>
                    <xdr:col>20</xdr:col>
                    <xdr:colOff>0</xdr:colOff>
                    <xdr:row>81</xdr:row>
                    <xdr:rowOff>9525</xdr:rowOff>
                  </from>
                  <to>
                    <xdr:col>30</xdr:col>
                    <xdr:colOff>0</xdr:colOff>
                    <xdr:row>85</xdr:row>
                    <xdr:rowOff>0</xdr:rowOff>
                  </to>
                </anchor>
              </controlPr>
            </control>
          </mc:Choice>
        </mc:AlternateContent>
        <mc:AlternateContent xmlns:mc="http://schemas.openxmlformats.org/markup-compatibility/2006">
          <mc:Choice Requires="x14">
            <control shapeId="1065" r:id="rId41" name="Option Button 41">
              <controlPr defaultSize="0" print="0" autoFill="0" autoLine="0" autoPict="0">
                <anchor moveWithCells="1">
                  <from>
                    <xdr:col>20</xdr:col>
                    <xdr:colOff>19050</xdr:colOff>
                    <xdr:row>85</xdr:row>
                    <xdr:rowOff>9525</xdr:rowOff>
                  </from>
                  <to>
                    <xdr:col>21</xdr:col>
                    <xdr:colOff>0</xdr:colOff>
                    <xdr:row>85</xdr:row>
                    <xdr:rowOff>200025</xdr:rowOff>
                  </to>
                </anchor>
              </controlPr>
            </control>
          </mc:Choice>
        </mc:AlternateContent>
        <mc:AlternateContent xmlns:mc="http://schemas.openxmlformats.org/markup-compatibility/2006">
          <mc:Choice Requires="x14">
            <control shapeId="1066" r:id="rId42" name="Option Button 42">
              <controlPr defaultSize="0" print="0" autoFill="0" autoLine="0" autoPict="0">
                <anchor moveWithCells="1">
                  <from>
                    <xdr:col>20</xdr:col>
                    <xdr:colOff>19050</xdr:colOff>
                    <xdr:row>86</xdr:row>
                    <xdr:rowOff>19050</xdr:rowOff>
                  </from>
                  <to>
                    <xdr:col>21</xdr:col>
                    <xdr:colOff>0</xdr:colOff>
                    <xdr:row>86</xdr:row>
                    <xdr:rowOff>209550</xdr:rowOff>
                  </to>
                </anchor>
              </controlPr>
            </control>
          </mc:Choice>
        </mc:AlternateContent>
        <mc:AlternateContent xmlns:mc="http://schemas.openxmlformats.org/markup-compatibility/2006">
          <mc:Choice Requires="x14">
            <control shapeId="1067" r:id="rId43" name="Option Button 43">
              <controlPr defaultSize="0" print="0" autoFill="0" autoLine="0" autoPict="0">
                <anchor moveWithCells="1">
                  <from>
                    <xdr:col>20</xdr:col>
                    <xdr:colOff>19050</xdr:colOff>
                    <xdr:row>87</xdr:row>
                    <xdr:rowOff>19050</xdr:rowOff>
                  </from>
                  <to>
                    <xdr:col>21</xdr:col>
                    <xdr:colOff>0</xdr:colOff>
                    <xdr:row>87</xdr:row>
                    <xdr:rowOff>219075</xdr:rowOff>
                  </to>
                </anchor>
              </controlPr>
            </control>
          </mc:Choice>
        </mc:AlternateContent>
        <mc:AlternateContent xmlns:mc="http://schemas.openxmlformats.org/markup-compatibility/2006">
          <mc:Choice Requires="x14">
            <control shapeId="1068" r:id="rId44" name="Option Button 44">
              <controlPr defaultSize="0" print="0" autoFill="0" autoLine="0" autoPict="0">
                <anchor moveWithCells="1">
                  <from>
                    <xdr:col>20</xdr:col>
                    <xdr:colOff>19050</xdr:colOff>
                    <xdr:row>88</xdr:row>
                    <xdr:rowOff>28575</xdr:rowOff>
                  </from>
                  <to>
                    <xdr:col>21</xdr:col>
                    <xdr:colOff>28575</xdr:colOff>
                    <xdr:row>88</xdr:row>
                    <xdr:rowOff>209550</xdr:rowOff>
                  </to>
                </anchor>
              </controlPr>
            </control>
          </mc:Choice>
        </mc:AlternateContent>
        <mc:AlternateContent xmlns:mc="http://schemas.openxmlformats.org/markup-compatibility/2006">
          <mc:Choice Requires="x14">
            <control shapeId="1069" r:id="rId45" name="Group Box 45">
              <controlPr defaultSize="0" print="0" autoFill="0" autoPict="0">
                <anchor moveWithCells="1">
                  <from>
                    <xdr:col>20</xdr:col>
                    <xdr:colOff>9525</xdr:colOff>
                    <xdr:row>85</xdr:row>
                    <xdr:rowOff>9525</xdr:rowOff>
                  </from>
                  <to>
                    <xdr:col>30</xdr:col>
                    <xdr:colOff>0</xdr:colOff>
                    <xdr:row>89</xdr:row>
                    <xdr:rowOff>0</xdr:rowOff>
                  </to>
                </anchor>
              </controlPr>
            </control>
          </mc:Choice>
        </mc:AlternateContent>
        <mc:AlternateContent xmlns:mc="http://schemas.openxmlformats.org/markup-compatibility/2006">
          <mc:Choice Requires="x14">
            <control shapeId="1070" r:id="rId46" name="Option Button 46">
              <controlPr defaultSize="0" print="0" autoFill="0" autoLine="0" autoPict="0">
                <anchor moveWithCells="1">
                  <from>
                    <xdr:col>20</xdr:col>
                    <xdr:colOff>19050</xdr:colOff>
                    <xdr:row>89</xdr:row>
                    <xdr:rowOff>28575</xdr:rowOff>
                  </from>
                  <to>
                    <xdr:col>21</xdr:col>
                    <xdr:colOff>19050</xdr:colOff>
                    <xdr:row>89</xdr:row>
                    <xdr:rowOff>209550</xdr:rowOff>
                  </to>
                </anchor>
              </controlPr>
            </control>
          </mc:Choice>
        </mc:AlternateContent>
        <mc:AlternateContent xmlns:mc="http://schemas.openxmlformats.org/markup-compatibility/2006">
          <mc:Choice Requires="x14">
            <control shapeId="1071" r:id="rId47" name="Option Button 47">
              <controlPr defaultSize="0" print="0" autoFill="0" autoLine="0" autoPict="0">
                <anchor moveWithCells="1">
                  <from>
                    <xdr:col>20</xdr:col>
                    <xdr:colOff>9525</xdr:colOff>
                    <xdr:row>90</xdr:row>
                    <xdr:rowOff>19050</xdr:rowOff>
                  </from>
                  <to>
                    <xdr:col>21</xdr:col>
                    <xdr:colOff>0</xdr:colOff>
                    <xdr:row>90</xdr:row>
                    <xdr:rowOff>209550</xdr:rowOff>
                  </to>
                </anchor>
              </controlPr>
            </control>
          </mc:Choice>
        </mc:AlternateContent>
        <mc:AlternateContent xmlns:mc="http://schemas.openxmlformats.org/markup-compatibility/2006">
          <mc:Choice Requires="x14">
            <control shapeId="1072" r:id="rId48" name="Option Button 48">
              <controlPr defaultSize="0" print="0" autoFill="0" autoLine="0" autoPict="0">
                <anchor moveWithCells="1">
                  <from>
                    <xdr:col>20</xdr:col>
                    <xdr:colOff>19050</xdr:colOff>
                    <xdr:row>91</xdr:row>
                    <xdr:rowOff>19050</xdr:rowOff>
                  </from>
                  <to>
                    <xdr:col>21</xdr:col>
                    <xdr:colOff>9525</xdr:colOff>
                    <xdr:row>91</xdr:row>
                    <xdr:rowOff>209550</xdr:rowOff>
                  </to>
                </anchor>
              </controlPr>
            </control>
          </mc:Choice>
        </mc:AlternateContent>
        <mc:AlternateContent xmlns:mc="http://schemas.openxmlformats.org/markup-compatibility/2006">
          <mc:Choice Requires="x14">
            <control shapeId="1073" r:id="rId49" name="Option Button 49">
              <controlPr defaultSize="0" print="0" autoFill="0" autoLine="0" autoPict="0">
                <anchor moveWithCells="1">
                  <from>
                    <xdr:col>20</xdr:col>
                    <xdr:colOff>9525</xdr:colOff>
                    <xdr:row>92</xdr:row>
                    <xdr:rowOff>9525</xdr:rowOff>
                  </from>
                  <to>
                    <xdr:col>21</xdr:col>
                    <xdr:colOff>19050</xdr:colOff>
                    <xdr:row>92</xdr:row>
                    <xdr:rowOff>209550</xdr:rowOff>
                  </to>
                </anchor>
              </controlPr>
            </control>
          </mc:Choice>
        </mc:AlternateContent>
        <mc:AlternateContent xmlns:mc="http://schemas.openxmlformats.org/markup-compatibility/2006">
          <mc:Choice Requires="x14">
            <control shapeId="1074" r:id="rId50" name="Group Box 50">
              <controlPr defaultSize="0" print="0" autoFill="0" autoPict="0">
                <anchor moveWithCells="1">
                  <from>
                    <xdr:col>20</xdr:col>
                    <xdr:colOff>9525</xdr:colOff>
                    <xdr:row>89</xdr:row>
                    <xdr:rowOff>9525</xdr:rowOff>
                  </from>
                  <to>
                    <xdr:col>30</xdr:col>
                    <xdr:colOff>0</xdr:colOff>
                    <xdr:row>93</xdr:row>
                    <xdr:rowOff>9525</xdr:rowOff>
                  </to>
                </anchor>
              </controlPr>
            </control>
          </mc:Choice>
        </mc:AlternateContent>
        <mc:AlternateContent xmlns:mc="http://schemas.openxmlformats.org/markup-compatibility/2006">
          <mc:Choice Requires="x14">
            <control shapeId="1075" r:id="rId51" name="Option Button 51">
              <controlPr defaultSize="0" print="0" autoFill="0" autoLine="0" autoPict="0">
                <anchor moveWithCells="1">
                  <from>
                    <xdr:col>20</xdr:col>
                    <xdr:colOff>19050</xdr:colOff>
                    <xdr:row>93</xdr:row>
                    <xdr:rowOff>38100</xdr:rowOff>
                  </from>
                  <to>
                    <xdr:col>21</xdr:col>
                    <xdr:colOff>0</xdr:colOff>
                    <xdr:row>93</xdr:row>
                    <xdr:rowOff>209550</xdr:rowOff>
                  </to>
                </anchor>
              </controlPr>
            </control>
          </mc:Choice>
        </mc:AlternateContent>
        <mc:AlternateContent xmlns:mc="http://schemas.openxmlformats.org/markup-compatibility/2006">
          <mc:Choice Requires="x14">
            <control shapeId="1076" r:id="rId52" name="Option Button 52">
              <controlPr defaultSize="0" print="0" autoFill="0" autoLine="0" autoPict="0">
                <anchor moveWithCells="1">
                  <from>
                    <xdr:col>20</xdr:col>
                    <xdr:colOff>28575</xdr:colOff>
                    <xdr:row>94</xdr:row>
                    <xdr:rowOff>9525</xdr:rowOff>
                  </from>
                  <to>
                    <xdr:col>21</xdr:col>
                    <xdr:colOff>0</xdr:colOff>
                    <xdr:row>94</xdr:row>
                    <xdr:rowOff>219075</xdr:rowOff>
                  </to>
                </anchor>
              </controlPr>
            </control>
          </mc:Choice>
        </mc:AlternateContent>
        <mc:AlternateContent xmlns:mc="http://schemas.openxmlformats.org/markup-compatibility/2006">
          <mc:Choice Requires="x14">
            <control shapeId="1077" r:id="rId53" name="Option Button 53">
              <controlPr defaultSize="0" print="0" autoFill="0" autoLine="0" autoPict="0">
                <anchor moveWithCells="1">
                  <from>
                    <xdr:col>20</xdr:col>
                    <xdr:colOff>19050</xdr:colOff>
                    <xdr:row>95</xdr:row>
                    <xdr:rowOff>38100</xdr:rowOff>
                  </from>
                  <to>
                    <xdr:col>21</xdr:col>
                    <xdr:colOff>57150</xdr:colOff>
                    <xdr:row>95</xdr:row>
                    <xdr:rowOff>190500</xdr:rowOff>
                  </to>
                </anchor>
              </controlPr>
            </control>
          </mc:Choice>
        </mc:AlternateContent>
        <mc:AlternateContent xmlns:mc="http://schemas.openxmlformats.org/markup-compatibility/2006">
          <mc:Choice Requires="x14">
            <control shapeId="1078" r:id="rId54" name="Option Button 54">
              <controlPr defaultSize="0" print="0" autoFill="0" autoLine="0" autoPict="0">
                <anchor moveWithCells="1">
                  <from>
                    <xdr:col>20</xdr:col>
                    <xdr:colOff>28575</xdr:colOff>
                    <xdr:row>96</xdr:row>
                    <xdr:rowOff>19050</xdr:rowOff>
                  </from>
                  <to>
                    <xdr:col>21</xdr:col>
                    <xdr:colOff>0</xdr:colOff>
                    <xdr:row>96</xdr:row>
                    <xdr:rowOff>209550</xdr:rowOff>
                  </to>
                </anchor>
              </controlPr>
            </control>
          </mc:Choice>
        </mc:AlternateContent>
        <mc:AlternateContent xmlns:mc="http://schemas.openxmlformats.org/markup-compatibility/2006">
          <mc:Choice Requires="x14">
            <control shapeId="1079" r:id="rId55" name="Group Box 55">
              <controlPr defaultSize="0" print="0" autoFill="0" autoPict="0">
                <anchor moveWithCells="1">
                  <from>
                    <xdr:col>20</xdr:col>
                    <xdr:colOff>0</xdr:colOff>
                    <xdr:row>93</xdr:row>
                    <xdr:rowOff>0</xdr:rowOff>
                  </from>
                  <to>
                    <xdr:col>30</xdr:col>
                    <xdr:colOff>0</xdr:colOff>
                    <xdr:row>96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3E93-6A1B-48F8-B45A-3DA922D58D8F}">
  <dimension ref="A2:Z28"/>
  <sheetViews>
    <sheetView view="pageBreakPreview" topLeftCell="AB1" zoomScale="85" zoomScaleNormal="85" zoomScaleSheetLayoutView="85" workbookViewId="0">
      <selection sqref="A1:AA1048576"/>
    </sheetView>
  </sheetViews>
  <sheetFormatPr defaultRowHeight="18.75" x14ac:dyDescent="0.4"/>
  <cols>
    <col min="1" max="1" width="0" hidden="1" customWidth="1"/>
    <col min="2" max="2" width="9" hidden="1" customWidth="1"/>
    <col min="3" max="12" width="0" hidden="1" customWidth="1"/>
    <col min="13" max="13" width="10.25" hidden="1" customWidth="1"/>
    <col min="14" max="27" width="0" hidden="1" customWidth="1"/>
  </cols>
  <sheetData>
    <row r="2" spans="1:26" x14ac:dyDescent="0.4">
      <c r="H2" s="434" t="s">
        <v>2</v>
      </c>
      <c r="I2" s="435"/>
      <c r="J2" s="435"/>
      <c r="K2" s="434">
        <v>4</v>
      </c>
      <c r="L2" s="435"/>
      <c r="M2" s="435"/>
      <c r="N2" s="435"/>
      <c r="O2" s="434">
        <v>5</v>
      </c>
      <c r="P2" s="435"/>
      <c r="Q2" s="435"/>
      <c r="R2" s="443"/>
      <c r="S2" s="434">
        <v>6</v>
      </c>
      <c r="T2" s="435"/>
      <c r="U2" s="435"/>
      <c r="V2" s="443"/>
      <c r="W2" s="435">
        <v>7</v>
      </c>
      <c r="X2" s="435"/>
      <c r="Y2" s="435"/>
      <c r="Z2" s="443"/>
    </row>
    <row r="3" spans="1:26" x14ac:dyDescent="0.4">
      <c r="H3" s="12" t="s">
        <v>7</v>
      </c>
      <c r="K3" s="441" t="s">
        <v>9</v>
      </c>
      <c r="L3" s="442"/>
      <c r="M3" s="442"/>
      <c r="N3" s="9" t="s">
        <v>27</v>
      </c>
      <c r="O3" s="441" t="s">
        <v>9</v>
      </c>
      <c r="P3" s="442"/>
      <c r="Q3" s="442"/>
      <c r="R3" s="10" t="s">
        <v>27</v>
      </c>
      <c r="S3" s="441" t="s">
        <v>9</v>
      </c>
      <c r="T3" s="442"/>
      <c r="U3" s="442"/>
      <c r="V3" s="10" t="s">
        <v>27</v>
      </c>
      <c r="W3" s="441" t="s">
        <v>9</v>
      </c>
      <c r="X3" s="442"/>
      <c r="Y3" s="442"/>
      <c r="Z3" s="10" t="s">
        <v>27</v>
      </c>
    </row>
    <row r="4" spans="1:26" ht="47.25" x14ac:dyDescent="0.4">
      <c r="H4" s="12" t="s">
        <v>8</v>
      </c>
      <c r="K4" s="8" t="s">
        <v>10</v>
      </c>
      <c r="L4" s="9" t="s">
        <v>24</v>
      </c>
      <c r="M4" s="15" t="s">
        <v>26</v>
      </c>
      <c r="N4" s="6"/>
      <c r="O4" s="8" t="s">
        <v>10</v>
      </c>
      <c r="P4" s="9" t="s">
        <v>24</v>
      </c>
      <c r="Q4" s="15" t="s">
        <v>26</v>
      </c>
      <c r="R4" s="11"/>
      <c r="S4" s="8" t="s">
        <v>10</v>
      </c>
      <c r="T4" s="9" t="s">
        <v>24</v>
      </c>
      <c r="U4" s="15" t="s">
        <v>26</v>
      </c>
      <c r="V4" s="11"/>
      <c r="W4" s="9" t="s">
        <v>10</v>
      </c>
      <c r="X4" s="9" t="s">
        <v>24</v>
      </c>
      <c r="Y4" s="15" t="s">
        <v>26</v>
      </c>
      <c r="Z4" s="11"/>
    </row>
    <row r="5" spans="1:26" x14ac:dyDescent="0.4">
      <c r="A5" s="85" t="s">
        <v>189</v>
      </c>
      <c r="B5" s="119">
        <f>data!G5</f>
        <v>1</v>
      </c>
      <c r="C5" s="3"/>
      <c r="D5" s="3"/>
      <c r="E5" s="3"/>
      <c r="H5" s="12" t="s">
        <v>28</v>
      </c>
      <c r="I5" s="14" t="s">
        <v>29</v>
      </c>
      <c r="K5" s="12">
        <v>1</v>
      </c>
      <c r="L5">
        <v>2</v>
      </c>
      <c r="M5">
        <v>3</v>
      </c>
      <c r="N5">
        <v>4</v>
      </c>
      <c r="O5" s="12">
        <v>1</v>
      </c>
      <c r="P5">
        <v>2</v>
      </c>
      <c r="Q5">
        <v>3</v>
      </c>
      <c r="R5" s="1">
        <v>4</v>
      </c>
      <c r="S5" s="12">
        <v>1</v>
      </c>
      <c r="T5">
        <v>2</v>
      </c>
      <c r="U5">
        <v>3</v>
      </c>
      <c r="V5" s="1">
        <v>4</v>
      </c>
      <c r="W5">
        <v>1</v>
      </c>
      <c r="X5">
        <v>2</v>
      </c>
      <c r="Y5">
        <v>3</v>
      </c>
      <c r="Z5" s="1">
        <v>4</v>
      </c>
    </row>
    <row r="6" spans="1:26" ht="19.5" thickBot="1" x14ac:dyDescent="0.45">
      <c r="A6" s="3" t="s">
        <v>188</v>
      </c>
      <c r="B6" s="3">
        <v>4</v>
      </c>
      <c r="C6" s="3">
        <v>5</v>
      </c>
      <c r="D6" s="3">
        <v>6</v>
      </c>
      <c r="E6" s="3">
        <v>7</v>
      </c>
      <c r="H6" s="13"/>
      <c r="I6" s="2"/>
      <c r="J6" s="2"/>
      <c r="K6" s="12"/>
      <c r="O6" s="12"/>
      <c r="R6" s="1"/>
      <c r="S6" s="12"/>
      <c r="V6" s="1"/>
      <c r="Z6" s="1"/>
    </row>
    <row r="7" spans="1:26" x14ac:dyDescent="0.4">
      <c r="A7" s="3">
        <f>ROW()-6</f>
        <v>1</v>
      </c>
      <c r="B7" s="120">
        <f t="shared" ref="B7:B28" si="0">INDEX(外皮係数の範囲4地域,A7,浴室の断熱構造の番号)</f>
        <v>0.19400000000000001</v>
      </c>
      <c r="C7" s="120">
        <f t="shared" ref="C7:C28" si="1">INDEX(外皮係数の範囲5地域,A7,浴室の断熱構造の番号)</f>
        <v>0.19400000000000001</v>
      </c>
      <c r="D7" s="120">
        <f t="shared" ref="D7:D28" si="2">INDEX(外皮係数の範囲6地域,A7,浴室の断熱構造の番号)</f>
        <v>0.19400000000000001</v>
      </c>
      <c r="E7" s="120">
        <f t="shared" ref="E7:E28" si="3">INDEX(外皮係数の範囲7地域,A7,浴室の断熱構造の番号)</f>
        <v>0.19400000000000001</v>
      </c>
      <c r="G7" s="433" t="s">
        <v>23</v>
      </c>
      <c r="H7" s="418" t="s">
        <v>11</v>
      </c>
      <c r="I7" s="418"/>
      <c r="J7" s="419"/>
      <c r="K7" s="16">
        <v>0.19400000000000001</v>
      </c>
      <c r="L7" s="17">
        <v>0.192</v>
      </c>
      <c r="M7" s="17">
        <v>0.19400000000000001</v>
      </c>
      <c r="N7" s="18">
        <v>0.185</v>
      </c>
      <c r="O7" s="16">
        <v>0.19400000000000001</v>
      </c>
      <c r="P7" s="17">
        <v>0.192</v>
      </c>
      <c r="Q7" s="17">
        <v>0.19400000000000001</v>
      </c>
      <c r="R7" s="18">
        <v>0.185</v>
      </c>
      <c r="S7" s="16">
        <v>0.19400000000000001</v>
      </c>
      <c r="T7" s="17">
        <v>0.192</v>
      </c>
      <c r="U7" s="17">
        <v>0.19400000000000001</v>
      </c>
      <c r="V7" s="18">
        <v>0.185</v>
      </c>
      <c r="W7" s="16">
        <v>0.19400000000000001</v>
      </c>
      <c r="X7" s="17">
        <v>0.192</v>
      </c>
      <c r="Y7" s="17">
        <v>0.19400000000000001</v>
      </c>
      <c r="Z7" s="18">
        <v>0.185</v>
      </c>
    </row>
    <row r="8" spans="1:26" x14ac:dyDescent="0.4">
      <c r="A8" s="3">
        <f t="shared" ref="A8:A28" si="4">ROW()-6</f>
        <v>2</v>
      </c>
      <c r="B8" s="120">
        <f t="shared" si="0"/>
        <v>0.48899999999999999</v>
      </c>
      <c r="C8" s="120">
        <f t="shared" si="1"/>
        <v>0.48899999999999999</v>
      </c>
      <c r="D8" s="120">
        <f t="shared" si="2"/>
        <v>0.48899999999999999</v>
      </c>
      <c r="E8" s="120">
        <f t="shared" si="3"/>
        <v>0.48899999999999999</v>
      </c>
      <c r="G8" s="429"/>
      <c r="H8" s="438" t="s">
        <v>12</v>
      </c>
      <c r="I8" s="418" t="s">
        <v>13</v>
      </c>
      <c r="J8" s="419"/>
      <c r="K8" s="19">
        <v>0.48899999999999999</v>
      </c>
      <c r="L8" s="20">
        <v>0.48199999999999998</v>
      </c>
      <c r="M8" s="20">
        <v>0.48899999999999999</v>
      </c>
      <c r="N8" s="21">
        <v>0.46600000000000003</v>
      </c>
      <c r="O8" s="19">
        <v>0.48899999999999999</v>
      </c>
      <c r="P8" s="20">
        <v>0.48199999999999998</v>
      </c>
      <c r="Q8" s="20">
        <v>0.48899999999999999</v>
      </c>
      <c r="R8" s="21">
        <v>0.46600000000000003</v>
      </c>
      <c r="S8" s="19">
        <v>0.48899999999999999</v>
      </c>
      <c r="T8" s="20">
        <v>0.48199999999999998</v>
      </c>
      <c r="U8" s="20">
        <v>0.48899999999999999</v>
      </c>
      <c r="V8" s="21">
        <v>0.46600000000000003</v>
      </c>
      <c r="W8" s="19">
        <v>0.48899999999999999</v>
      </c>
      <c r="X8" s="20">
        <v>0.48199999999999998</v>
      </c>
      <c r="Y8" s="20">
        <v>0.48899999999999999</v>
      </c>
      <c r="Z8" s="21">
        <v>0.46600000000000003</v>
      </c>
    </row>
    <row r="9" spans="1:26" x14ac:dyDescent="0.4">
      <c r="A9" s="3">
        <f t="shared" si="4"/>
        <v>3</v>
      </c>
      <c r="B9" s="120">
        <f t="shared" si="0"/>
        <v>4.0000000000000001E-3</v>
      </c>
      <c r="C9" s="120">
        <f t="shared" si="1"/>
        <v>4.0000000000000001E-3</v>
      </c>
      <c r="D9" s="120">
        <f t="shared" si="2"/>
        <v>4.0000000000000001E-3</v>
      </c>
      <c r="E9" s="120">
        <f t="shared" si="3"/>
        <v>4.0000000000000001E-3</v>
      </c>
      <c r="G9" s="429"/>
      <c r="H9" s="439"/>
      <c r="I9" s="418" t="s">
        <v>14</v>
      </c>
      <c r="J9" s="419"/>
      <c r="K9" s="19">
        <v>4.0000000000000001E-3</v>
      </c>
      <c r="L9" s="20">
        <v>4.0000000000000001E-3</v>
      </c>
      <c r="M9" s="20">
        <v>4.0000000000000001E-3</v>
      </c>
      <c r="N9" s="21">
        <v>3.0000000000000001E-3</v>
      </c>
      <c r="O9" s="19">
        <v>4.0000000000000001E-3</v>
      </c>
      <c r="P9" s="20">
        <v>4.0000000000000001E-3</v>
      </c>
      <c r="Q9" s="20">
        <v>4.0000000000000001E-3</v>
      </c>
      <c r="R9" s="21">
        <v>3.0000000000000001E-3</v>
      </c>
      <c r="S9" s="19">
        <v>4.0000000000000001E-3</v>
      </c>
      <c r="T9" s="20">
        <v>4.0000000000000001E-3</v>
      </c>
      <c r="U9" s="20">
        <v>4.0000000000000001E-3</v>
      </c>
      <c r="V9" s="21">
        <v>3.0000000000000001E-3</v>
      </c>
      <c r="W9" s="19">
        <v>4.0000000000000001E-3</v>
      </c>
      <c r="X9" s="20">
        <v>4.0000000000000001E-3</v>
      </c>
      <c r="Y9" s="20">
        <v>4.0000000000000001E-3</v>
      </c>
      <c r="Z9" s="21">
        <v>3.0000000000000001E-3</v>
      </c>
    </row>
    <row r="10" spans="1:26" x14ac:dyDescent="0.4">
      <c r="A10" s="3">
        <f t="shared" si="4"/>
        <v>4</v>
      </c>
      <c r="B10" s="120">
        <f t="shared" si="0"/>
        <v>0</v>
      </c>
      <c r="C10" s="120">
        <f t="shared" si="1"/>
        <v>0</v>
      </c>
      <c r="D10" s="120">
        <f t="shared" si="2"/>
        <v>0</v>
      </c>
      <c r="E10" s="120">
        <f t="shared" si="3"/>
        <v>0</v>
      </c>
      <c r="G10" s="429"/>
      <c r="H10" s="440"/>
      <c r="I10" s="419" t="s">
        <v>25</v>
      </c>
      <c r="J10" s="421"/>
      <c r="K10" s="22">
        <v>0</v>
      </c>
      <c r="L10" s="20">
        <v>1.2E-2</v>
      </c>
      <c r="M10" s="23">
        <v>0</v>
      </c>
      <c r="N10" s="21">
        <v>5.0999999999999997E-2</v>
      </c>
      <c r="O10" s="22">
        <v>0</v>
      </c>
      <c r="P10" s="20">
        <v>1.2E-2</v>
      </c>
      <c r="Q10" s="23">
        <v>0</v>
      </c>
      <c r="R10" s="21">
        <v>5.0999999999999997E-2</v>
      </c>
      <c r="S10" s="22">
        <v>0</v>
      </c>
      <c r="T10" s="20">
        <v>1.2E-2</v>
      </c>
      <c r="U10" s="23">
        <v>0</v>
      </c>
      <c r="V10" s="21">
        <v>5.0999999999999997E-2</v>
      </c>
      <c r="W10" s="22">
        <v>0</v>
      </c>
      <c r="X10" s="20">
        <v>1.2E-2</v>
      </c>
      <c r="Y10" s="23">
        <v>0</v>
      </c>
      <c r="Z10" s="21">
        <v>5.0999999999999997E-2</v>
      </c>
    </row>
    <row r="11" spans="1:26" x14ac:dyDescent="0.4">
      <c r="A11" s="3">
        <f t="shared" si="4"/>
        <v>5</v>
      </c>
      <c r="B11" s="120">
        <f t="shared" si="0"/>
        <v>8.9999999999999993E-3</v>
      </c>
      <c r="C11" s="120">
        <f t="shared" si="1"/>
        <v>8.9999999999999993E-3</v>
      </c>
      <c r="D11" s="120">
        <f t="shared" si="2"/>
        <v>8.9999999999999993E-3</v>
      </c>
      <c r="E11" s="120">
        <f t="shared" si="3"/>
        <v>8.9999999999999993E-3</v>
      </c>
      <c r="G11" s="429"/>
      <c r="H11" s="418" t="s">
        <v>15</v>
      </c>
      <c r="I11" s="418" t="s">
        <v>16</v>
      </c>
      <c r="J11" s="419"/>
      <c r="K11" s="19">
        <v>8.9999999999999993E-3</v>
      </c>
      <c r="L11" s="23">
        <v>0</v>
      </c>
      <c r="M11" s="23">
        <v>0</v>
      </c>
      <c r="N11" s="24">
        <v>0</v>
      </c>
      <c r="O11" s="19">
        <v>8.9999999999999993E-3</v>
      </c>
      <c r="P11" s="23">
        <v>0</v>
      </c>
      <c r="Q11" s="23">
        <v>0</v>
      </c>
      <c r="R11" s="24">
        <v>0</v>
      </c>
      <c r="S11" s="19">
        <v>8.9999999999999993E-3</v>
      </c>
      <c r="T11" s="23">
        <v>0</v>
      </c>
      <c r="U11" s="23">
        <v>0</v>
      </c>
      <c r="V11" s="24">
        <v>0</v>
      </c>
      <c r="W11" s="19">
        <v>8.9999999999999993E-3</v>
      </c>
      <c r="X11" s="23">
        <v>0</v>
      </c>
      <c r="Y11" s="23">
        <v>0</v>
      </c>
      <c r="Z11" s="24">
        <v>0</v>
      </c>
    </row>
    <row r="12" spans="1:26" x14ac:dyDescent="0.4">
      <c r="A12" s="3">
        <f t="shared" si="4"/>
        <v>6</v>
      </c>
      <c r="B12" s="120">
        <f t="shared" si="0"/>
        <v>0.121</v>
      </c>
      <c r="C12" s="120">
        <f t="shared" si="1"/>
        <v>0.121</v>
      </c>
      <c r="D12" s="120">
        <f t="shared" si="2"/>
        <v>0.121</v>
      </c>
      <c r="E12" s="120">
        <f t="shared" si="3"/>
        <v>0.121</v>
      </c>
      <c r="G12" s="429"/>
      <c r="H12" s="418"/>
      <c r="I12" s="418" t="s">
        <v>17</v>
      </c>
      <c r="J12" s="419"/>
      <c r="K12" s="19">
        <v>0.121</v>
      </c>
      <c r="L12" s="20">
        <v>0.11899999999999999</v>
      </c>
      <c r="M12" s="20">
        <v>0.129</v>
      </c>
      <c r="N12" s="24">
        <v>0</v>
      </c>
      <c r="O12" s="19">
        <v>0.121</v>
      </c>
      <c r="P12" s="20">
        <v>0.11899999999999999</v>
      </c>
      <c r="Q12" s="20">
        <v>0.129</v>
      </c>
      <c r="R12" s="24">
        <v>0</v>
      </c>
      <c r="S12" s="19">
        <v>0.121</v>
      </c>
      <c r="T12" s="20">
        <v>0.11899999999999999</v>
      </c>
      <c r="U12" s="20">
        <v>0.129</v>
      </c>
      <c r="V12" s="24">
        <v>0</v>
      </c>
      <c r="W12" s="19">
        <v>0.121</v>
      </c>
      <c r="X12" s="20">
        <v>0.11899999999999999</v>
      </c>
      <c r="Y12" s="20">
        <v>0.129</v>
      </c>
      <c r="Z12" s="24">
        <v>0</v>
      </c>
    </row>
    <row r="13" spans="1:26" x14ac:dyDescent="0.4">
      <c r="A13" s="3">
        <f t="shared" si="4"/>
        <v>7</v>
      </c>
      <c r="B13" s="120">
        <f t="shared" si="0"/>
        <v>0.107</v>
      </c>
      <c r="C13" s="120">
        <f t="shared" si="1"/>
        <v>0.107</v>
      </c>
      <c r="D13" s="120">
        <f t="shared" si="2"/>
        <v>0.107</v>
      </c>
      <c r="E13" s="120">
        <f t="shared" si="3"/>
        <v>0.107</v>
      </c>
      <c r="G13" s="429"/>
      <c r="H13" s="418" t="s">
        <v>18</v>
      </c>
      <c r="I13" s="418"/>
      <c r="J13" s="419"/>
      <c r="K13" s="19">
        <v>0.107</v>
      </c>
      <c r="L13" s="20">
        <v>0.105</v>
      </c>
      <c r="M13" s="20">
        <v>0.107</v>
      </c>
      <c r="N13" s="21">
        <v>0.10199999999999999</v>
      </c>
      <c r="O13" s="19">
        <v>0.107</v>
      </c>
      <c r="P13" s="20">
        <v>0.105</v>
      </c>
      <c r="Q13" s="20">
        <v>0.107</v>
      </c>
      <c r="R13" s="21">
        <v>0.10199999999999999</v>
      </c>
      <c r="S13" s="19">
        <v>0.107</v>
      </c>
      <c r="T13" s="20">
        <v>0.105</v>
      </c>
      <c r="U13" s="20">
        <v>0.107</v>
      </c>
      <c r="V13" s="21">
        <v>0.10199999999999999</v>
      </c>
      <c r="W13" s="19">
        <v>0.107</v>
      </c>
      <c r="X13" s="20">
        <v>0.105</v>
      </c>
      <c r="Y13" s="20">
        <v>0.107</v>
      </c>
      <c r="Z13" s="21">
        <v>0.10199999999999999</v>
      </c>
    </row>
    <row r="14" spans="1:26" x14ac:dyDescent="0.4">
      <c r="A14" s="3">
        <f t="shared" si="4"/>
        <v>8</v>
      </c>
      <c r="B14" s="120">
        <f t="shared" si="0"/>
        <v>1.4E-2</v>
      </c>
      <c r="C14" s="120">
        <f t="shared" si="1"/>
        <v>1.4E-2</v>
      </c>
      <c r="D14" s="120">
        <f t="shared" si="2"/>
        <v>1.4E-2</v>
      </c>
      <c r="E14" s="120">
        <f t="shared" si="3"/>
        <v>1.4E-2</v>
      </c>
      <c r="G14" s="429"/>
      <c r="H14" s="418" t="s">
        <v>19</v>
      </c>
      <c r="I14" s="418"/>
      <c r="J14" s="419"/>
      <c r="K14" s="19">
        <v>1.4E-2</v>
      </c>
      <c r="L14" s="20">
        <v>1.4E-2</v>
      </c>
      <c r="M14" s="20">
        <v>1.4E-2</v>
      </c>
      <c r="N14" s="21">
        <v>1.2999999999999999E-2</v>
      </c>
      <c r="O14" s="19">
        <v>1.4E-2</v>
      </c>
      <c r="P14" s="20">
        <v>1.4E-2</v>
      </c>
      <c r="Q14" s="20">
        <v>1.4E-2</v>
      </c>
      <c r="R14" s="21">
        <v>1.2999999999999999E-2</v>
      </c>
      <c r="S14" s="19">
        <v>1.4E-2</v>
      </c>
      <c r="T14" s="20">
        <v>1.4E-2</v>
      </c>
      <c r="U14" s="20">
        <v>1.4E-2</v>
      </c>
      <c r="V14" s="21">
        <v>1.2999999999999999E-2</v>
      </c>
      <c r="W14" s="19">
        <v>1.4E-2</v>
      </c>
      <c r="X14" s="20">
        <v>1.4E-2</v>
      </c>
      <c r="Y14" s="20">
        <v>1.4E-2</v>
      </c>
      <c r="Z14" s="21">
        <v>1.2999999999999999E-2</v>
      </c>
    </row>
    <row r="15" spans="1:26" x14ac:dyDescent="0.4">
      <c r="A15" s="3">
        <f t="shared" si="4"/>
        <v>9</v>
      </c>
      <c r="B15" s="120">
        <f t="shared" si="0"/>
        <v>2.1000000000000001E-2</v>
      </c>
      <c r="C15" s="120">
        <f t="shared" si="1"/>
        <v>2.1000000000000001E-2</v>
      </c>
      <c r="D15" s="120">
        <f t="shared" si="2"/>
        <v>2.1000000000000001E-2</v>
      </c>
      <c r="E15" s="120">
        <f t="shared" si="3"/>
        <v>2.1000000000000001E-2</v>
      </c>
      <c r="G15" s="429"/>
      <c r="H15" s="418" t="s">
        <v>20</v>
      </c>
      <c r="I15" s="418"/>
      <c r="J15" s="7" t="s">
        <v>21</v>
      </c>
      <c r="K15" s="19">
        <v>2.1000000000000001E-2</v>
      </c>
      <c r="L15" s="20">
        <v>2.1000000000000001E-2</v>
      </c>
      <c r="M15" s="20">
        <v>2.1000000000000001E-2</v>
      </c>
      <c r="N15" s="21">
        <v>1.2E-2</v>
      </c>
      <c r="O15" s="19">
        <v>2.1000000000000001E-2</v>
      </c>
      <c r="P15" s="20">
        <v>2.1000000000000001E-2</v>
      </c>
      <c r="Q15" s="20">
        <v>2.1000000000000001E-2</v>
      </c>
      <c r="R15" s="21">
        <v>1.2E-2</v>
      </c>
      <c r="S15" s="19">
        <v>2.1000000000000001E-2</v>
      </c>
      <c r="T15" s="20">
        <v>2.1000000000000001E-2</v>
      </c>
      <c r="U15" s="20">
        <v>2.1000000000000001E-2</v>
      </c>
      <c r="V15" s="21">
        <v>1.2E-2</v>
      </c>
      <c r="W15" s="19">
        <v>2.1000000000000001E-2</v>
      </c>
      <c r="X15" s="20">
        <v>2.1000000000000001E-2</v>
      </c>
      <c r="Y15" s="20">
        <v>2.1000000000000001E-2</v>
      </c>
      <c r="Z15" s="21">
        <v>1.2E-2</v>
      </c>
    </row>
    <row r="16" spans="1:26" ht="19.5" thickBot="1" x14ac:dyDescent="0.45">
      <c r="A16" s="3">
        <f t="shared" si="4"/>
        <v>10</v>
      </c>
      <c r="B16" s="120">
        <f t="shared" si="0"/>
        <v>0</v>
      </c>
      <c r="C16" s="120">
        <f t="shared" si="1"/>
        <v>0</v>
      </c>
      <c r="D16" s="120">
        <f t="shared" si="2"/>
        <v>0</v>
      </c>
      <c r="E16" s="120">
        <f t="shared" si="3"/>
        <v>0</v>
      </c>
      <c r="G16" s="432"/>
      <c r="H16" s="420"/>
      <c r="I16" s="420"/>
      <c r="J16" s="28" t="s">
        <v>16</v>
      </c>
      <c r="K16" s="29">
        <v>0</v>
      </c>
      <c r="L16" s="30">
        <v>2.4E-2</v>
      </c>
      <c r="M16" s="31">
        <v>0</v>
      </c>
      <c r="N16" s="32">
        <v>0.10100000000000001</v>
      </c>
      <c r="O16" s="29">
        <v>0</v>
      </c>
      <c r="P16" s="30">
        <v>2.4E-2</v>
      </c>
      <c r="Q16" s="31">
        <v>0</v>
      </c>
      <c r="R16" s="32">
        <v>0.10100000000000001</v>
      </c>
      <c r="S16" s="29">
        <v>0</v>
      </c>
      <c r="T16" s="30">
        <v>2.4E-2</v>
      </c>
      <c r="U16" s="31">
        <v>0</v>
      </c>
      <c r="V16" s="32">
        <v>0.10100000000000001</v>
      </c>
      <c r="W16" s="29">
        <v>0</v>
      </c>
      <c r="X16" s="30">
        <v>2.4E-2</v>
      </c>
      <c r="Y16" s="31">
        <v>0</v>
      </c>
      <c r="Z16" s="32">
        <v>0.10100000000000001</v>
      </c>
    </row>
    <row r="17" spans="1:26" ht="19.5" thickTop="1" x14ac:dyDescent="0.4">
      <c r="A17" s="3">
        <f t="shared" si="4"/>
        <v>11</v>
      </c>
      <c r="B17" s="120">
        <f t="shared" si="0"/>
        <v>0.65900000000000003</v>
      </c>
      <c r="C17" s="120">
        <f t="shared" si="1"/>
        <v>0.65900000000000003</v>
      </c>
      <c r="D17" s="120">
        <f t="shared" si="2"/>
        <v>0.65900000000000003</v>
      </c>
      <c r="E17" s="120">
        <f t="shared" si="3"/>
        <v>0.65900000000000003</v>
      </c>
      <c r="G17" s="431" t="s">
        <v>22</v>
      </c>
      <c r="H17" s="425" t="s">
        <v>11</v>
      </c>
      <c r="I17" s="426"/>
      <c r="J17" s="427"/>
      <c r="K17" s="33">
        <v>0.65900000000000003</v>
      </c>
      <c r="L17" s="34">
        <v>0.65</v>
      </c>
      <c r="M17" s="34">
        <v>0.65900000000000003</v>
      </c>
      <c r="N17" s="35">
        <v>0.628</v>
      </c>
      <c r="O17" s="33">
        <v>0.65900000000000003</v>
      </c>
      <c r="P17" s="34">
        <v>0.65</v>
      </c>
      <c r="Q17" s="34">
        <v>0.65900000000000003</v>
      </c>
      <c r="R17" s="35">
        <v>0.628</v>
      </c>
      <c r="S17" s="33">
        <v>0.65900000000000003</v>
      </c>
      <c r="T17" s="34">
        <v>0.65</v>
      </c>
      <c r="U17" s="34">
        <v>0.65900000000000003</v>
      </c>
      <c r="V17" s="35">
        <v>0.628</v>
      </c>
      <c r="W17" s="33">
        <v>0.65900000000000003</v>
      </c>
      <c r="X17" s="34">
        <v>0.65</v>
      </c>
      <c r="Y17" s="34">
        <v>0.65900000000000003</v>
      </c>
      <c r="Z17" s="35">
        <v>0.628</v>
      </c>
    </row>
    <row r="18" spans="1:26" x14ac:dyDescent="0.4">
      <c r="A18" s="3">
        <f t="shared" si="4"/>
        <v>12</v>
      </c>
      <c r="B18" s="120">
        <f t="shared" si="0"/>
        <v>0.75</v>
      </c>
      <c r="C18" s="120">
        <f t="shared" si="1"/>
        <v>0.78300000000000003</v>
      </c>
      <c r="D18" s="120">
        <f t="shared" si="2"/>
        <v>0.76200000000000001</v>
      </c>
      <c r="E18" s="120">
        <f t="shared" si="3"/>
        <v>0.73799999999999999</v>
      </c>
      <c r="G18" s="429"/>
      <c r="H18" s="422" t="s">
        <v>12</v>
      </c>
      <c r="I18" s="418" t="s">
        <v>13</v>
      </c>
      <c r="J18" s="419"/>
      <c r="K18" s="19">
        <v>0.75</v>
      </c>
      <c r="L18" s="20">
        <v>0.73899999999999999</v>
      </c>
      <c r="M18" s="20">
        <v>0.75</v>
      </c>
      <c r="N18" s="21">
        <v>0.71399999999999997</v>
      </c>
      <c r="O18" s="19">
        <v>0.78300000000000003</v>
      </c>
      <c r="P18" s="20">
        <v>0.77300000000000002</v>
      </c>
      <c r="Q18" s="20">
        <v>0.78300000000000003</v>
      </c>
      <c r="R18" s="21">
        <v>0.746</v>
      </c>
      <c r="S18" s="19">
        <v>0.76200000000000001</v>
      </c>
      <c r="T18" s="20">
        <v>0.751</v>
      </c>
      <c r="U18" s="20">
        <v>0.76200000000000001</v>
      </c>
      <c r="V18" s="21">
        <v>0.72499999999999998</v>
      </c>
      <c r="W18" s="19">
        <v>0.73799999999999999</v>
      </c>
      <c r="X18" s="20">
        <v>0.72799999999999998</v>
      </c>
      <c r="Y18" s="20">
        <v>0.73799999999999999</v>
      </c>
      <c r="Z18" s="21">
        <v>0.70299999999999996</v>
      </c>
    </row>
    <row r="19" spans="1:26" x14ac:dyDescent="0.4">
      <c r="A19" s="3">
        <f t="shared" si="4"/>
        <v>13</v>
      </c>
      <c r="B19" s="120">
        <f t="shared" si="0"/>
        <v>4.0000000000000001E-3</v>
      </c>
      <c r="C19" s="120">
        <f t="shared" si="1"/>
        <v>4.0000000000000001E-3</v>
      </c>
      <c r="D19" s="120">
        <f t="shared" si="2"/>
        <v>4.0000000000000001E-3</v>
      </c>
      <c r="E19" s="120">
        <f t="shared" si="3"/>
        <v>4.0000000000000001E-3</v>
      </c>
      <c r="G19" s="429"/>
      <c r="H19" s="423"/>
      <c r="I19" s="418" t="s">
        <v>14</v>
      </c>
      <c r="J19" s="419"/>
      <c r="K19" s="19">
        <v>4.0000000000000001E-3</v>
      </c>
      <c r="L19" s="20">
        <v>4.0000000000000001E-3</v>
      </c>
      <c r="M19" s="20">
        <v>4.0000000000000001E-3</v>
      </c>
      <c r="N19" s="21">
        <v>3.0000000000000001E-3</v>
      </c>
      <c r="O19" s="19">
        <v>4.0000000000000001E-3</v>
      </c>
      <c r="P19" s="20">
        <v>4.0000000000000001E-3</v>
      </c>
      <c r="Q19" s="20">
        <v>4.0000000000000001E-3</v>
      </c>
      <c r="R19" s="21">
        <v>4.0000000000000001E-3</v>
      </c>
      <c r="S19" s="19">
        <v>4.0000000000000001E-3</v>
      </c>
      <c r="T19" s="20">
        <v>4.0000000000000001E-3</v>
      </c>
      <c r="U19" s="20">
        <v>4.0000000000000001E-3</v>
      </c>
      <c r="V19" s="21">
        <v>4.0000000000000001E-3</v>
      </c>
      <c r="W19" s="19">
        <v>4.0000000000000001E-3</v>
      </c>
      <c r="X19" s="20">
        <v>4.0000000000000001E-3</v>
      </c>
      <c r="Y19" s="20">
        <v>4.0000000000000001E-3</v>
      </c>
      <c r="Z19" s="21">
        <v>3.0000000000000001E-3</v>
      </c>
    </row>
    <row r="20" spans="1:26" x14ac:dyDescent="0.4">
      <c r="A20" s="3">
        <f t="shared" si="4"/>
        <v>14</v>
      </c>
      <c r="B20" s="120">
        <f t="shared" si="0"/>
        <v>0</v>
      </c>
      <c r="C20" s="120">
        <f t="shared" si="1"/>
        <v>0</v>
      </c>
      <c r="D20" s="120">
        <f t="shared" si="2"/>
        <v>0</v>
      </c>
      <c r="E20" s="120">
        <f t="shared" si="3"/>
        <v>0</v>
      </c>
      <c r="G20" s="429"/>
      <c r="H20" s="424"/>
      <c r="I20" s="419" t="s">
        <v>25</v>
      </c>
      <c r="J20" s="421"/>
      <c r="K20" s="22">
        <v>0</v>
      </c>
      <c r="L20" s="20">
        <v>0.01</v>
      </c>
      <c r="M20" s="23">
        <v>0</v>
      </c>
      <c r="N20" s="21">
        <v>7.9000000000000001E-2</v>
      </c>
      <c r="O20" s="22">
        <v>0</v>
      </c>
      <c r="P20" s="20">
        <v>1.0999999999999999E-2</v>
      </c>
      <c r="Q20" s="23">
        <v>0</v>
      </c>
      <c r="R20" s="21">
        <v>8.2000000000000003E-2</v>
      </c>
      <c r="S20" s="22">
        <v>0</v>
      </c>
      <c r="T20" s="20">
        <v>0.01</v>
      </c>
      <c r="U20" s="23">
        <v>0</v>
      </c>
      <c r="V20" s="21">
        <v>0.08</v>
      </c>
      <c r="W20" s="22">
        <v>0</v>
      </c>
      <c r="X20" s="20">
        <v>0.01</v>
      </c>
      <c r="Y20" s="23">
        <v>0</v>
      </c>
      <c r="Z20" s="21">
        <v>7.6999999999999999E-2</v>
      </c>
    </row>
    <row r="21" spans="1:26" x14ac:dyDescent="0.4">
      <c r="A21" s="3">
        <f t="shared" si="4"/>
        <v>15</v>
      </c>
      <c r="B21" s="120">
        <f t="shared" si="0"/>
        <v>1.9E-2</v>
      </c>
      <c r="C21" s="120">
        <f t="shared" si="1"/>
        <v>0.02</v>
      </c>
      <c r="D21" s="120">
        <f t="shared" si="2"/>
        <v>0.02</v>
      </c>
      <c r="E21" s="120">
        <f t="shared" si="3"/>
        <v>1.9E-2</v>
      </c>
      <c r="G21" s="429"/>
      <c r="H21" s="428" t="s">
        <v>19</v>
      </c>
      <c r="I21" s="418"/>
      <c r="J21" s="419"/>
      <c r="K21" s="19">
        <v>1.9E-2</v>
      </c>
      <c r="L21" s="20">
        <v>1.9E-2</v>
      </c>
      <c r="M21" s="20">
        <v>1.9E-2</v>
      </c>
      <c r="N21" s="21">
        <v>1.7999999999999999E-2</v>
      </c>
      <c r="O21" s="19">
        <v>0.02</v>
      </c>
      <c r="P21" s="20">
        <v>0.02</v>
      </c>
      <c r="Q21" s="20">
        <v>0.02</v>
      </c>
      <c r="R21" s="21">
        <v>0.02</v>
      </c>
      <c r="S21" s="19">
        <v>0.02</v>
      </c>
      <c r="T21" s="20">
        <v>0.02</v>
      </c>
      <c r="U21" s="20">
        <v>0.02</v>
      </c>
      <c r="V21" s="21">
        <v>1.9E-2</v>
      </c>
      <c r="W21" s="19">
        <v>1.9E-2</v>
      </c>
      <c r="X21" s="20">
        <v>1.9E-2</v>
      </c>
      <c r="Y21" s="20">
        <v>1.9E-2</v>
      </c>
      <c r="Z21" s="21">
        <v>1.7999999999999999E-2</v>
      </c>
    </row>
    <row r="22" spans="1:26" ht="19.5" thickBot="1" x14ac:dyDescent="0.45">
      <c r="A22" s="3">
        <f t="shared" si="4"/>
        <v>16</v>
      </c>
      <c r="B22" s="120">
        <f t="shared" si="0"/>
        <v>4.2759999999999998</v>
      </c>
      <c r="C22" s="120">
        <f t="shared" si="1"/>
        <v>4.5780000000000003</v>
      </c>
      <c r="D22" s="120">
        <f t="shared" si="2"/>
        <v>4.3559999999999999</v>
      </c>
      <c r="E22" s="120">
        <f t="shared" si="3"/>
        <v>4.2210000000000001</v>
      </c>
      <c r="G22" s="432"/>
      <c r="H22" s="436" t="s">
        <v>18</v>
      </c>
      <c r="I22" s="420"/>
      <c r="J22" s="437"/>
      <c r="K22" s="36">
        <v>4.2759999999999998</v>
      </c>
      <c r="L22" s="30">
        <v>4.2169999999999996</v>
      </c>
      <c r="M22" s="30">
        <v>4.2759999999999998</v>
      </c>
      <c r="N22" s="32">
        <v>4.07</v>
      </c>
      <c r="O22" s="36">
        <v>4.5780000000000003</v>
      </c>
      <c r="P22" s="30">
        <v>4.5149999999999997</v>
      </c>
      <c r="Q22" s="30">
        <v>4.5780000000000003</v>
      </c>
      <c r="R22" s="32">
        <v>4.3579999999999997</v>
      </c>
      <c r="S22" s="36">
        <v>4.3559999999999999</v>
      </c>
      <c r="T22" s="30">
        <v>4.2960000000000003</v>
      </c>
      <c r="U22" s="30">
        <v>4.3559999999999999</v>
      </c>
      <c r="V22" s="32">
        <v>4.1470000000000002</v>
      </c>
      <c r="W22" s="36">
        <v>4.2210000000000001</v>
      </c>
      <c r="X22" s="30">
        <v>4.1630000000000003</v>
      </c>
      <c r="Y22" s="30">
        <v>4.2210000000000001</v>
      </c>
      <c r="Z22" s="32">
        <v>4.0190000000000001</v>
      </c>
    </row>
    <row r="23" spans="1:26" ht="19.5" thickTop="1" x14ac:dyDescent="0.4">
      <c r="A23" s="3">
        <f t="shared" si="4"/>
        <v>17</v>
      </c>
      <c r="B23" s="120">
        <f t="shared" si="0"/>
        <v>0.65800000000000003</v>
      </c>
      <c r="C23" s="120">
        <f t="shared" si="1"/>
        <v>0.65800000000000003</v>
      </c>
      <c r="D23" s="120">
        <f t="shared" si="2"/>
        <v>0.65800000000000003</v>
      </c>
      <c r="E23" s="120">
        <f t="shared" si="3"/>
        <v>0.65800000000000003</v>
      </c>
      <c r="G23" s="429" t="s">
        <v>199</v>
      </c>
      <c r="H23" s="428" t="s">
        <v>11</v>
      </c>
      <c r="I23" s="418"/>
      <c r="J23" s="419"/>
      <c r="K23" s="19">
        <v>0.65800000000000003</v>
      </c>
      <c r="L23" s="20">
        <v>0.64900000000000002</v>
      </c>
      <c r="M23" s="20">
        <v>0.65800000000000003</v>
      </c>
      <c r="N23" s="21">
        <v>0.627</v>
      </c>
      <c r="O23" s="19">
        <v>0.65800000000000003</v>
      </c>
      <c r="P23" s="20">
        <v>0.64900000000000002</v>
      </c>
      <c r="Q23" s="20">
        <v>0.65800000000000003</v>
      </c>
      <c r="R23" s="21">
        <v>0.627</v>
      </c>
      <c r="S23" s="19">
        <v>0.65800000000000003</v>
      </c>
      <c r="T23" s="20">
        <v>0.64900000000000002</v>
      </c>
      <c r="U23" s="20">
        <v>0.65800000000000003</v>
      </c>
      <c r="V23" s="21">
        <v>0.627</v>
      </c>
      <c r="W23" s="19">
        <v>0.65800000000000003</v>
      </c>
      <c r="X23" s="20">
        <v>0.64900000000000002</v>
      </c>
      <c r="Y23" s="20">
        <v>0.65800000000000003</v>
      </c>
      <c r="Z23" s="21">
        <v>0.627</v>
      </c>
    </row>
    <row r="24" spans="1:26" x14ac:dyDescent="0.4">
      <c r="A24" s="3">
        <f t="shared" si="4"/>
        <v>18</v>
      </c>
      <c r="B24" s="120">
        <f t="shared" si="0"/>
        <v>0.83699999999999997</v>
      </c>
      <c r="C24" s="120">
        <f t="shared" si="1"/>
        <v>0.89300000000000002</v>
      </c>
      <c r="D24" s="120">
        <f t="shared" si="2"/>
        <v>0.88200000000000001</v>
      </c>
      <c r="E24" s="120">
        <f t="shared" si="3"/>
        <v>0.88500000000000001</v>
      </c>
      <c r="G24" s="429"/>
      <c r="H24" s="422" t="s">
        <v>12</v>
      </c>
      <c r="I24" s="418" t="s">
        <v>13</v>
      </c>
      <c r="J24" s="419"/>
      <c r="K24" s="19">
        <v>0.83699999999999997</v>
      </c>
      <c r="L24" s="20">
        <v>0.82599999999999996</v>
      </c>
      <c r="M24" s="20">
        <v>0.83699999999999997</v>
      </c>
      <c r="N24" s="21">
        <v>0.79700000000000004</v>
      </c>
      <c r="O24" s="19">
        <v>0.89300000000000002</v>
      </c>
      <c r="P24" s="20">
        <v>0.88100000000000001</v>
      </c>
      <c r="Q24" s="20">
        <v>0.89300000000000002</v>
      </c>
      <c r="R24" s="21">
        <v>0.85</v>
      </c>
      <c r="S24" s="19">
        <v>0.88200000000000001</v>
      </c>
      <c r="T24" s="20">
        <v>0.86899999999999999</v>
      </c>
      <c r="U24" s="20">
        <v>0.88200000000000001</v>
      </c>
      <c r="V24" s="21">
        <v>0.83899999999999997</v>
      </c>
      <c r="W24" s="19">
        <v>0.88500000000000001</v>
      </c>
      <c r="X24" s="20">
        <v>0.873</v>
      </c>
      <c r="Y24" s="20">
        <v>0.88500000000000001</v>
      </c>
      <c r="Z24" s="21">
        <v>0.84199999999999997</v>
      </c>
    </row>
    <row r="25" spans="1:26" x14ac:dyDescent="0.4">
      <c r="A25" s="3">
        <f t="shared" si="4"/>
        <v>19</v>
      </c>
      <c r="B25" s="120">
        <f t="shared" si="0"/>
        <v>2E-3</v>
      </c>
      <c r="C25" s="120">
        <f t="shared" si="1"/>
        <v>2E-3</v>
      </c>
      <c r="D25" s="120">
        <f t="shared" si="2"/>
        <v>2E-3</v>
      </c>
      <c r="E25" s="120">
        <f t="shared" si="3"/>
        <v>2E-3</v>
      </c>
      <c r="G25" s="429"/>
      <c r="H25" s="423"/>
      <c r="I25" s="418" t="s">
        <v>14</v>
      </c>
      <c r="J25" s="419"/>
      <c r="K25" s="19">
        <v>2E-3</v>
      </c>
      <c r="L25" s="20">
        <v>2E-3</v>
      </c>
      <c r="M25" s="20">
        <v>2E-3</v>
      </c>
      <c r="N25" s="21">
        <v>2E-3</v>
      </c>
      <c r="O25" s="19">
        <v>2E-3</v>
      </c>
      <c r="P25" s="20">
        <v>2E-3</v>
      </c>
      <c r="Q25" s="20">
        <v>2E-3</v>
      </c>
      <c r="R25" s="21">
        <v>2E-3</v>
      </c>
      <c r="S25" s="19">
        <v>2E-3</v>
      </c>
      <c r="T25" s="20">
        <v>2E-3</v>
      </c>
      <c r="U25" s="20">
        <v>2E-3</v>
      </c>
      <c r="V25" s="21">
        <v>2E-3</v>
      </c>
      <c r="W25" s="19">
        <v>2E-3</v>
      </c>
      <c r="X25" s="20">
        <v>2E-3</v>
      </c>
      <c r="Y25" s="20">
        <v>2E-3</v>
      </c>
      <c r="Z25" s="21">
        <v>2E-3</v>
      </c>
    </row>
    <row r="26" spans="1:26" x14ac:dyDescent="0.4">
      <c r="A26" s="3">
        <f t="shared" si="4"/>
        <v>20</v>
      </c>
      <c r="B26" s="120">
        <f t="shared" si="0"/>
        <v>0</v>
      </c>
      <c r="C26" s="120">
        <f t="shared" si="1"/>
        <v>0</v>
      </c>
      <c r="D26" s="120">
        <f t="shared" si="2"/>
        <v>0</v>
      </c>
      <c r="E26" s="120">
        <f t="shared" si="3"/>
        <v>0</v>
      </c>
      <c r="G26" s="429"/>
      <c r="H26" s="424"/>
      <c r="I26" s="419" t="s">
        <v>25</v>
      </c>
      <c r="J26" s="421"/>
      <c r="K26" s="22">
        <v>0</v>
      </c>
      <c r="L26" s="20">
        <v>7.0000000000000001E-3</v>
      </c>
      <c r="M26" s="23">
        <v>0</v>
      </c>
      <c r="N26" s="21">
        <v>9.2999999999999999E-2</v>
      </c>
      <c r="O26" s="22">
        <v>0</v>
      </c>
      <c r="P26" s="20">
        <v>7.0000000000000001E-3</v>
      </c>
      <c r="Q26" s="23">
        <v>0</v>
      </c>
      <c r="R26" s="21">
        <v>0.10100000000000001</v>
      </c>
      <c r="S26" s="22">
        <v>0</v>
      </c>
      <c r="T26" s="20">
        <v>7.0000000000000001E-3</v>
      </c>
      <c r="U26" s="23">
        <v>0</v>
      </c>
      <c r="V26" s="21">
        <v>9.8000000000000004E-2</v>
      </c>
      <c r="W26" s="22">
        <v>0</v>
      </c>
      <c r="X26" s="20">
        <v>6.0000000000000001E-3</v>
      </c>
      <c r="Y26" s="23">
        <v>0</v>
      </c>
      <c r="Z26" s="21">
        <v>0.10100000000000001</v>
      </c>
    </row>
    <row r="27" spans="1:26" x14ac:dyDescent="0.4">
      <c r="A27" s="3">
        <f t="shared" si="4"/>
        <v>21</v>
      </c>
      <c r="B27" s="120">
        <f t="shared" si="0"/>
        <v>1.4E-2</v>
      </c>
      <c r="C27" s="120">
        <f t="shared" si="1"/>
        <v>1.2999999999999999E-2</v>
      </c>
      <c r="D27" s="120">
        <f t="shared" si="2"/>
        <v>1.4E-2</v>
      </c>
      <c r="E27" s="120">
        <f t="shared" si="3"/>
        <v>1.2E-2</v>
      </c>
      <c r="G27" s="429"/>
      <c r="H27" s="428" t="s">
        <v>19</v>
      </c>
      <c r="I27" s="418"/>
      <c r="J27" s="419"/>
      <c r="K27" s="19">
        <v>1.4E-2</v>
      </c>
      <c r="L27" s="20">
        <v>1.4E-2</v>
      </c>
      <c r="M27" s="20">
        <v>1.4E-2</v>
      </c>
      <c r="N27" s="21">
        <v>1.4E-2</v>
      </c>
      <c r="O27" s="19">
        <v>1.2999999999999999E-2</v>
      </c>
      <c r="P27" s="20">
        <v>1.2999999999999999E-2</v>
      </c>
      <c r="Q27" s="20">
        <v>1.2999999999999999E-2</v>
      </c>
      <c r="R27" s="21">
        <v>1.2999999999999999E-2</v>
      </c>
      <c r="S27" s="19">
        <v>1.4E-2</v>
      </c>
      <c r="T27" s="20">
        <v>1.4E-2</v>
      </c>
      <c r="U27" s="20">
        <v>1.4E-2</v>
      </c>
      <c r="V27" s="21">
        <v>1.2999999999999999E-2</v>
      </c>
      <c r="W27" s="19">
        <v>1.2E-2</v>
      </c>
      <c r="X27" s="20">
        <v>1.2E-2</v>
      </c>
      <c r="Y27" s="20">
        <v>1.2E-2</v>
      </c>
      <c r="Z27" s="21">
        <v>1.2E-2</v>
      </c>
    </row>
    <row r="28" spans="1:26" ht="19.5" thickBot="1" x14ac:dyDescent="0.45">
      <c r="A28" s="3">
        <f t="shared" si="4"/>
        <v>22</v>
      </c>
      <c r="B28" s="120">
        <f t="shared" si="0"/>
        <v>4.4109999999999996</v>
      </c>
      <c r="C28" s="120">
        <f t="shared" si="1"/>
        <v>5.0999999999999996</v>
      </c>
      <c r="D28" s="120">
        <f t="shared" si="2"/>
        <v>4.7859999999999996</v>
      </c>
      <c r="E28" s="120">
        <f t="shared" si="3"/>
        <v>5.2409999999999997</v>
      </c>
      <c r="G28" s="430"/>
      <c r="H28" s="428" t="s">
        <v>18</v>
      </c>
      <c r="I28" s="418"/>
      <c r="J28" s="419"/>
      <c r="K28" s="25">
        <v>4.4109999999999996</v>
      </c>
      <c r="L28" s="26">
        <v>4.3499999999999996</v>
      </c>
      <c r="M28" s="26">
        <v>4.4109999999999996</v>
      </c>
      <c r="N28" s="27">
        <v>4.1989999999999998</v>
      </c>
      <c r="O28" s="25">
        <v>5.0999999999999996</v>
      </c>
      <c r="P28" s="26">
        <v>5.03</v>
      </c>
      <c r="Q28" s="26">
        <v>5.0999999999999996</v>
      </c>
      <c r="R28" s="27">
        <v>4.8550000000000004</v>
      </c>
      <c r="S28" s="25">
        <v>4.7859999999999996</v>
      </c>
      <c r="T28" s="26">
        <v>4.72</v>
      </c>
      <c r="U28" s="26">
        <v>4.7859999999999996</v>
      </c>
      <c r="V28" s="27">
        <v>4.556</v>
      </c>
      <c r="W28" s="25">
        <v>5.2409999999999997</v>
      </c>
      <c r="X28" s="26">
        <v>5.1689999999999996</v>
      </c>
      <c r="Y28" s="26">
        <v>5.2409999999999997</v>
      </c>
      <c r="Z28" s="27">
        <v>4.99</v>
      </c>
    </row>
  </sheetData>
  <sheetProtection algorithmName="SHA-512" hashValue="7E9GglUImeYAYXViFpbIt8glFMcj3n47z4ZLK1eFCgIO18G2VbnXmyvotFWQ29tNkkw4kx6M4gJqpseVH7lecw==" saltValue="8vJtAQnGaNLvfLZWpQWajw==" spinCount="100000" sheet="1" selectLockedCells="1"/>
  <mergeCells count="37">
    <mergeCell ref="K3:M3"/>
    <mergeCell ref="O3:Q3"/>
    <mergeCell ref="S3:U3"/>
    <mergeCell ref="W3:Y3"/>
    <mergeCell ref="O2:R2"/>
    <mergeCell ref="S2:V2"/>
    <mergeCell ref="W2:Z2"/>
    <mergeCell ref="H28:J28"/>
    <mergeCell ref="G23:G28"/>
    <mergeCell ref="G17:G22"/>
    <mergeCell ref="G7:G16"/>
    <mergeCell ref="K2:N2"/>
    <mergeCell ref="H2:J2"/>
    <mergeCell ref="H23:J23"/>
    <mergeCell ref="H24:H26"/>
    <mergeCell ref="I24:J24"/>
    <mergeCell ref="I25:J25"/>
    <mergeCell ref="I26:J26"/>
    <mergeCell ref="H27:J27"/>
    <mergeCell ref="H21:J21"/>
    <mergeCell ref="H22:J22"/>
    <mergeCell ref="I10:J10"/>
    <mergeCell ref="H8:H10"/>
    <mergeCell ref="H15:I16"/>
    <mergeCell ref="I20:J20"/>
    <mergeCell ref="H18:H20"/>
    <mergeCell ref="H13:J13"/>
    <mergeCell ref="H14:J14"/>
    <mergeCell ref="H17:J17"/>
    <mergeCell ref="I18:J18"/>
    <mergeCell ref="I19:J19"/>
    <mergeCell ref="H7:J7"/>
    <mergeCell ref="I8:J8"/>
    <mergeCell ref="I9:J9"/>
    <mergeCell ref="I11:J11"/>
    <mergeCell ref="H11:H12"/>
    <mergeCell ref="I12:J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C28DF-34C1-4528-AE1D-63D17FDB985A}">
  <dimension ref="A1:M23"/>
  <sheetViews>
    <sheetView topLeftCell="M7" workbookViewId="0">
      <selection activeCell="L7" sqref="A1:L1048576"/>
    </sheetView>
  </sheetViews>
  <sheetFormatPr defaultRowHeight="18.75" x14ac:dyDescent="0.4"/>
  <cols>
    <col min="1" max="1" width="29.625" hidden="1" customWidth="1"/>
    <col min="2" max="12" width="0" hidden="1" customWidth="1"/>
  </cols>
  <sheetData>
    <row r="1" spans="1:13" ht="19.5" thickBot="1" x14ac:dyDescent="0.45"/>
    <row r="2" spans="1:13" x14ac:dyDescent="0.4">
      <c r="A2" t="s">
        <v>7</v>
      </c>
      <c r="B2" s="106" t="s">
        <v>9</v>
      </c>
      <c r="C2" s="107" t="s">
        <v>27</v>
      </c>
      <c r="D2" s="108"/>
      <c r="J2" s="441" t="s">
        <v>9</v>
      </c>
      <c r="K2" s="442"/>
      <c r="L2" s="442"/>
      <c r="M2" s="9" t="s">
        <v>27</v>
      </c>
    </row>
    <row r="3" spans="1:13" ht="19.5" thickBot="1" x14ac:dyDescent="0.45">
      <c r="B3" s="109">
        <v>1</v>
      </c>
      <c r="C3" s="110">
        <v>2</v>
      </c>
      <c r="D3" s="108"/>
      <c r="G3">
        <f>外皮性能表紙!A15</f>
        <v>1</v>
      </c>
      <c r="J3" s="86"/>
      <c r="K3" s="87"/>
      <c r="L3" s="87"/>
      <c r="M3" s="9"/>
    </row>
    <row r="4" spans="1:13" ht="47.25" x14ac:dyDescent="0.4">
      <c r="A4" t="s">
        <v>8</v>
      </c>
      <c r="B4" s="106" t="s">
        <v>10</v>
      </c>
      <c r="C4" s="111" t="s">
        <v>24</v>
      </c>
      <c r="D4" s="114" t="s">
        <v>26</v>
      </c>
      <c r="E4" s="61"/>
      <c r="F4" t="s">
        <v>62</v>
      </c>
      <c r="J4" s="8" t="s">
        <v>10</v>
      </c>
      <c r="K4" s="9" t="s">
        <v>24</v>
      </c>
      <c r="L4" s="15" t="s">
        <v>26</v>
      </c>
      <c r="M4" s="6"/>
    </row>
    <row r="5" spans="1:13" ht="19.5" thickBot="1" x14ac:dyDescent="0.45">
      <c r="B5" s="113">
        <v>1</v>
      </c>
      <c r="C5" s="65">
        <v>2</v>
      </c>
      <c r="D5" s="65">
        <v>3</v>
      </c>
      <c r="E5" s="66"/>
      <c r="G5">
        <f>外皮性能表紙!A16</f>
        <v>1</v>
      </c>
      <c r="J5" s="12">
        <v>1</v>
      </c>
      <c r="K5">
        <v>2</v>
      </c>
      <c r="L5">
        <v>3</v>
      </c>
      <c r="M5">
        <v>4</v>
      </c>
    </row>
    <row r="7" spans="1:13" ht="19.5" thickBot="1" x14ac:dyDescent="0.45"/>
    <row r="8" spans="1:13" ht="19.5" thickBot="1" x14ac:dyDescent="0.45">
      <c r="A8" t="s">
        <v>40</v>
      </c>
      <c r="B8" s="147">
        <f>外皮性能表紙!A14</f>
        <v>4</v>
      </c>
      <c r="C8" s="148" t="s">
        <v>2</v>
      </c>
    </row>
    <row r="9" spans="1:13" x14ac:dyDescent="0.4">
      <c r="B9" s="149">
        <v>4</v>
      </c>
      <c r="C9" s="150" t="s">
        <v>2</v>
      </c>
      <c r="D9" s="70" t="s">
        <v>33</v>
      </c>
      <c r="E9" s="47"/>
      <c r="F9" s="47"/>
      <c r="G9" s="47"/>
      <c r="H9" s="47">
        <v>1</v>
      </c>
      <c r="I9" s="70" t="s">
        <v>33</v>
      </c>
      <c r="J9" s="47"/>
      <c r="K9" s="83"/>
    </row>
    <row r="10" spans="1:13" x14ac:dyDescent="0.4">
      <c r="B10" s="77"/>
      <c r="C10" s="1"/>
      <c r="D10" s="4" t="s">
        <v>82</v>
      </c>
      <c r="E10" s="7"/>
      <c r="F10" s="7"/>
      <c r="G10" s="7"/>
      <c r="H10" s="7">
        <v>2</v>
      </c>
      <c r="I10" s="4" t="s">
        <v>82</v>
      </c>
      <c r="J10" s="7"/>
      <c r="K10" s="84"/>
    </row>
    <row r="11" spans="1:13" x14ac:dyDescent="0.4">
      <c r="B11" s="77"/>
      <c r="C11" s="1"/>
      <c r="D11" s="4" t="s">
        <v>83</v>
      </c>
      <c r="E11" s="7"/>
      <c r="F11" s="7"/>
      <c r="G11" s="7"/>
      <c r="H11" s="7">
        <v>3</v>
      </c>
      <c r="I11" s="4" t="s">
        <v>83</v>
      </c>
      <c r="J11" s="7"/>
      <c r="K11" s="84"/>
    </row>
    <row r="12" spans="1:13" x14ac:dyDescent="0.4">
      <c r="B12" s="77"/>
      <c r="C12" s="1"/>
      <c r="D12" s="4" t="s">
        <v>134</v>
      </c>
      <c r="E12" s="7"/>
      <c r="F12" s="7"/>
      <c r="G12" s="7"/>
      <c r="H12" s="7">
        <v>4</v>
      </c>
      <c r="I12" s="4" t="s">
        <v>83</v>
      </c>
      <c r="J12" s="7"/>
      <c r="K12" s="84"/>
    </row>
    <row r="13" spans="1:13" ht="19.5" thickBot="1" x14ac:dyDescent="0.45">
      <c r="B13" s="112"/>
      <c r="C13" s="151"/>
      <c r="D13" s="75" t="s">
        <v>136</v>
      </c>
      <c r="E13" s="48"/>
      <c r="F13" s="48"/>
      <c r="G13" s="48"/>
      <c r="H13" s="48">
        <v>5</v>
      </c>
      <c r="I13" s="75" t="s">
        <v>83</v>
      </c>
      <c r="J13" s="48"/>
      <c r="K13" s="82"/>
    </row>
    <row r="14" spans="1:13" x14ac:dyDescent="0.4">
      <c r="B14" s="149" t="s">
        <v>227</v>
      </c>
      <c r="C14" s="150" t="s">
        <v>2</v>
      </c>
      <c r="D14" s="70" t="s">
        <v>33</v>
      </c>
      <c r="E14" s="47"/>
      <c r="F14" s="47"/>
      <c r="G14" s="47"/>
      <c r="H14" s="47">
        <v>1</v>
      </c>
      <c r="I14" s="70" t="s">
        <v>33</v>
      </c>
      <c r="J14" s="47"/>
      <c r="K14" s="83"/>
    </row>
    <row r="15" spans="1:13" x14ac:dyDescent="0.4">
      <c r="B15" s="77"/>
      <c r="C15" s="1"/>
      <c r="D15" s="4" t="s">
        <v>83</v>
      </c>
      <c r="E15" s="7"/>
      <c r="F15" s="7"/>
      <c r="G15" s="7"/>
      <c r="H15" s="7">
        <v>2</v>
      </c>
      <c r="I15" s="4" t="s">
        <v>83</v>
      </c>
      <c r="J15" s="7"/>
      <c r="K15" s="84"/>
    </row>
    <row r="16" spans="1:13" x14ac:dyDescent="0.4">
      <c r="B16" s="77"/>
      <c r="C16" s="1"/>
      <c r="D16" s="4" t="s">
        <v>134</v>
      </c>
      <c r="E16" s="7"/>
      <c r="F16" s="7"/>
      <c r="G16" s="7"/>
      <c r="H16" s="7">
        <v>3</v>
      </c>
      <c r="I16" s="4" t="s">
        <v>83</v>
      </c>
      <c r="J16" s="7"/>
      <c r="K16" s="84"/>
    </row>
    <row r="17" spans="2:12" ht="19.5" thickBot="1" x14ac:dyDescent="0.45">
      <c r="B17" s="112"/>
      <c r="C17" s="151"/>
      <c r="D17" s="75" t="s">
        <v>136</v>
      </c>
      <c r="E17" s="48"/>
      <c r="F17" s="48"/>
      <c r="G17" s="48"/>
      <c r="H17" s="48">
        <v>4</v>
      </c>
      <c r="I17" s="75" t="s">
        <v>83</v>
      </c>
      <c r="J17" s="48"/>
      <c r="K17" s="82"/>
    </row>
    <row r="19" spans="2:12" x14ac:dyDescent="0.4">
      <c r="B19" s="38">
        <v>1</v>
      </c>
      <c r="C19" s="39" t="s">
        <v>33</v>
      </c>
      <c r="D19" s="39"/>
      <c r="E19" s="39"/>
      <c r="F19" s="39"/>
      <c r="G19" s="37"/>
      <c r="H19" s="40">
        <f>IF(一次エネ消費量表紙!V15=C19,1,IF(一次エネ消費量表紙!V15=C20,2,IF(一次エネ消費量表紙!V15=C21,3,IF(一次エネ消費量表紙!V15=C22,4,IF(一次エネ消費量表紙!V15=C23,5,0)))))</f>
        <v>1</v>
      </c>
      <c r="I19" s="38" t="s">
        <v>33</v>
      </c>
      <c r="J19" s="39"/>
      <c r="K19" s="37"/>
      <c r="L19" t="str">
        <f>IF(一次エネ消費量表紙!V15=data!C19,data!I19,IF(一次エネ消費量表紙!V15=data!C20,data!I20,IF(一次エネ消費量表紙!V15=data!C21,data!I21,IF(一次エネ消費量表紙!V15=data!C22,data!I22,IF(一次エネ消費量表紙!V15=data!C23,data!I23,"")))))</f>
        <v>設置なし</v>
      </c>
    </row>
    <row r="20" spans="2:12" x14ac:dyDescent="0.4">
      <c r="B20" s="12">
        <v>2</v>
      </c>
      <c r="C20" t="str">
        <f>IF(B8=4,D10,D15)</f>
        <v>FF 暖房機</v>
      </c>
      <c r="G20" s="1"/>
      <c r="H20" s="41"/>
      <c r="I20" s="12" t="str">
        <f>IF(B8=4,I10,I15)</f>
        <v>FF 暖房機</v>
      </c>
      <c r="K20" s="1"/>
    </row>
    <row r="21" spans="2:12" x14ac:dyDescent="0.4">
      <c r="B21" s="12">
        <v>3</v>
      </c>
      <c r="C21" t="str">
        <f>IF(B8=4,D11,D16)</f>
        <v>ルームエアコンディショナー</v>
      </c>
      <c r="G21" s="1"/>
      <c r="H21" s="41"/>
      <c r="I21" s="12" t="str">
        <f>IF(B8=4,I11,I16)</f>
        <v>ルームエアコンディショナー</v>
      </c>
      <c r="K21" s="1"/>
    </row>
    <row r="22" spans="2:12" x14ac:dyDescent="0.4">
      <c r="B22" s="12">
        <v>4</v>
      </c>
      <c r="C22" t="str">
        <f>IF(B8=4,D12,D17)</f>
        <v>温水床暖房（石油潜熱回収型温水暖房機）</v>
      </c>
      <c r="G22" s="1"/>
      <c r="H22" s="41"/>
      <c r="I22" s="12" t="str">
        <f>IF(B8=4,I12,I17)</f>
        <v>ルームエアコンディショナー</v>
      </c>
      <c r="K22" s="1"/>
    </row>
    <row r="23" spans="2:12" x14ac:dyDescent="0.4">
      <c r="B23" s="13">
        <v>5</v>
      </c>
      <c r="C23" s="2" t="str">
        <f>IF(B8=4,D13,"")</f>
        <v>温水床暖房（ガス潜熱回収型温水暖房機）</v>
      </c>
      <c r="D23" s="2"/>
      <c r="E23" s="2"/>
      <c r="F23" s="2"/>
      <c r="G23" s="43"/>
      <c r="H23" s="42"/>
      <c r="I23" s="13" t="str">
        <f>IF(B8=4,I13,"")</f>
        <v>ルームエアコンディショナー</v>
      </c>
      <c r="J23" s="2"/>
      <c r="K23" s="43"/>
    </row>
  </sheetData>
  <sheetProtection algorithmName="SHA-512" hashValue="zOUOoWf14l3GV3cdz5xwZ68TDu+EQSk9Qd+9bFxFXq2MpYyfvskYpUPBKXQLNc+0Cp14qEILMTv/Bf8jxDWOYA==" saltValue="JKcueedrlD0nlXUFA1CmSw==" spinCount="100000" sheet="1" selectLockedCells="1"/>
  <mergeCells count="1">
    <mergeCell ref="J2:L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1B92B-E923-4CB0-8CCC-13F2EDA3485B}">
  <dimension ref="A1:AY100"/>
  <sheetViews>
    <sheetView view="pageBreakPreview" topLeftCell="BA1" zoomScale="85" zoomScaleNormal="70" zoomScaleSheetLayoutView="85" workbookViewId="0">
      <selection sqref="A1:AZ1048576"/>
    </sheetView>
  </sheetViews>
  <sheetFormatPr defaultRowHeight="18.75" x14ac:dyDescent="0.4"/>
  <cols>
    <col min="1" max="12" width="0" hidden="1" customWidth="1"/>
    <col min="13" max="13" width="6.875" hidden="1" customWidth="1"/>
    <col min="14" max="14" width="3.5" hidden="1" customWidth="1"/>
    <col min="15" max="15" width="5.75" hidden="1" customWidth="1"/>
    <col min="16" max="16" width="4.75" hidden="1" customWidth="1"/>
    <col min="17" max="17" width="6.625" hidden="1" customWidth="1"/>
    <col min="18" max="18" width="6.375" hidden="1" customWidth="1"/>
    <col min="19" max="19" width="4.875" hidden="1" customWidth="1"/>
    <col min="20" max="20" width="9" hidden="1" customWidth="1"/>
    <col min="21" max="21" width="3.75" hidden="1" customWidth="1"/>
    <col min="22" max="22" width="6" hidden="1" customWidth="1"/>
    <col min="23" max="23" width="10.875" hidden="1" customWidth="1"/>
    <col min="24" max="24" width="1.125" hidden="1" customWidth="1"/>
    <col min="25" max="25" width="4.875" hidden="1" customWidth="1"/>
    <col min="26" max="26" width="4.625" hidden="1" customWidth="1"/>
    <col min="27" max="27" width="0" hidden="1" customWidth="1"/>
    <col min="28" max="28" width="4" hidden="1" customWidth="1"/>
    <col min="29" max="29" width="5.375" hidden="1" customWidth="1"/>
    <col min="30" max="30" width="0" hidden="1" customWidth="1"/>
    <col min="31" max="31" width="1.375" hidden="1" customWidth="1"/>
    <col min="32" max="32" width="4.875" hidden="1" customWidth="1"/>
    <col min="33" max="33" width="4.625" hidden="1" customWidth="1"/>
    <col min="34" max="34" width="0" hidden="1" customWidth="1"/>
    <col min="35" max="35" width="4" hidden="1" customWidth="1"/>
    <col min="36" max="36" width="5.375" hidden="1" customWidth="1"/>
    <col min="37" max="37" width="0" hidden="1" customWidth="1"/>
    <col min="38" max="38" width="1.125" hidden="1" customWidth="1"/>
    <col min="39" max="39" width="4.875" hidden="1" customWidth="1"/>
    <col min="40" max="40" width="4.625" hidden="1" customWidth="1"/>
    <col min="41" max="41" width="0" hidden="1" customWidth="1"/>
    <col min="42" max="42" width="4" hidden="1" customWidth="1"/>
    <col min="43" max="43" width="5.375" hidden="1" customWidth="1"/>
    <col min="44" max="44" width="0" hidden="1" customWidth="1"/>
    <col min="45" max="45" width="1" hidden="1" customWidth="1"/>
    <col min="46" max="46" width="4.875" hidden="1" customWidth="1"/>
    <col min="47" max="47" width="4.625" hidden="1" customWidth="1"/>
    <col min="48" max="48" width="0" hidden="1" customWidth="1"/>
    <col min="49" max="49" width="4" hidden="1" customWidth="1"/>
    <col min="50" max="50" width="5.375" hidden="1" customWidth="1"/>
    <col min="51" max="52" width="0" hidden="1" customWidth="1"/>
  </cols>
  <sheetData>
    <row r="1" spans="1:51" x14ac:dyDescent="0.4">
      <c r="M1" t="s">
        <v>129</v>
      </c>
      <c r="P1" t="s">
        <v>130</v>
      </c>
    </row>
    <row r="3" spans="1:51" x14ac:dyDescent="0.4">
      <c r="M3" s="418" t="s">
        <v>128</v>
      </c>
      <c r="N3" s="418"/>
      <c r="O3" s="418" t="s">
        <v>80</v>
      </c>
      <c r="P3" s="418"/>
      <c r="Q3" s="418"/>
      <c r="R3" s="418" t="s">
        <v>33</v>
      </c>
      <c r="S3" s="418"/>
      <c r="T3" s="418"/>
      <c r="U3" s="418"/>
      <c r="V3" s="418"/>
      <c r="W3" s="418"/>
      <c r="Y3" s="418" t="s">
        <v>82</v>
      </c>
      <c r="Z3" s="418"/>
      <c r="AA3" s="418"/>
      <c r="AB3" s="418"/>
      <c r="AC3" s="418"/>
      <c r="AD3" s="418"/>
      <c r="AF3" s="418" t="s">
        <v>83</v>
      </c>
      <c r="AG3" s="418"/>
      <c r="AH3" s="418"/>
      <c r="AI3" s="418"/>
      <c r="AJ3" s="418"/>
      <c r="AK3" s="418"/>
      <c r="AM3" s="418" t="s">
        <v>134</v>
      </c>
      <c r="AN3" s="418"/>
      <c r="AO3" s="418"/>
      <c r="AP3" s="418"/>
      <c r="AQ3" s="418"/>
      <c r="AR3" s="418"/>
      <c r="AT3" s="418" t="s">
        <v>136</v>
      </c>
      <c r="AU3" s="418"/>
      <c r="AV3" s="418"/>
      <c r="AW3" s="418"/>
      <c r="AX3" s="418"/>
      <c r="AY3" s="418"/>
    </row>
    <row r="4" spans="1:51" x14ac:dyDescent="0.4">
      <c r="M4" s="418"/>
      <c r="N4" s="418"/>
      <c r="O4" s="418" t="s">
        <v>81</v>
      </c>
      <c r="P4" s="418"/>
      <c r="Q4" s="418"/>
      <c r="R4" s="418" t="s">
        <v>33</v>
      </c>
      <c r="S4" s="418"/>
      <c r="T4" s="418"/>
      <c r="U4" s="418"/>
      <c r="V4" s="418"/>
      <c r="W4" s="418"/>
      <c r="Y4" s="418" t="s">
        <v>82</v>
      </c>
      <c r="Z4" s="418"/>
      <c r="AA4" s="418"/>
      <c r="AB4" s="418"/>
      <c r="AC4" s="418"/>
      <c r="AD4" s="418"/>
      <c r="AF4" s="418" t="s">
        <v>83</v>
      </c>
      <c r="AG4" s="418"/>
      <c r="AH4" s="418"/>
      <c r="AI4" s="418"/>
      <c r="AJ4" s="418"/>
      <c r="AK4" s="418"/>
      <c r="AM4" s="418" t="s">
        <v>83</v>
      </c>
      <c r="AN4" s="418"/>
      <c r="AO4" s="418"/>
      <c r="AP4" s="418"/>
      <c r="AQ4" s="418"/>
      <c r="AR4" s="418"/>
      <c r="AT4" s="418" t="s">
        <v>83</v>
      </c>
      <c r="AU4" s="418"/>
      <c r="AV4" s="418"/>
      <c r="AW4" s="418"/>
      <c r="AX4" s="418"/>
      <c r="AY4" s="418"/>
    </row>
    <row r="5" spans="1:51" x14ac:dyDescent="0.4">
      <c r="R5" t="s">
        <v>75</v>
      </c>
      <c r="Y5" t="s">
        <v>76</v>
      </c>
      <c r="AF5" t="s">
        <v>77</v>
      </c>
      <c r="AM5" t="s">
        <v>78</v>
      </c>
      <c r="AT5" t="s">
        <v>79</v>
      </c>
    </row>
    <row r="6" spans="1:51" x14ac:dyDescent="0.4">
      <c r="L6" t="s">
        <v>40</v>
      </c>
    </row>
    <row r="7" spans="1:51" x14ac:dyDescent="0.4">
      <c r="A7" s="3" t="s">
        <v>228</v>
      </c>
      <c r="B7" s="153">
        <f>一次エネ消費量表紙!AE20</f>
        <v>0.64</v>
      </c>
      <c r="D7" s="444" t="s">
        <v>255</v>
      </c>
      <c r="E7" s="445"/>
      <c r="F7" s="446"/>
      <c r="G7" s="3">
        <f>IF(G9&gt;0,1,0)</f>
        <v>1</v>
      </c>
      <c r="R7" s="467" t="s">
        <v>236</v>
      </c>
      <c r="S7" s="467"/>
      <c r="T7" s="467"/>
      <c r="U7" s="467"/>
      <c r="V7" s="467"/>
      <c r="W7" s="467"/>
      <c r="Y7" s="467" t="s">
        <v>237</v>
      </c>
      <c r="Z7" s="467"/>
      <c r="AA7" s="467"/>
      <c r="AB7" s="467"/>
      <c r="AC7" s="467"/>
      <c r="AD7" s="467"/>
      <c r="AF7" s="467" t="s">
        <v>237</v>
      </c>
      <c r="AG7" s="467"/>
      <c r="AH7" s="467"/>
      <c r="AI7" s="467"/>
      <c r="AJ7" s="467"/>
      <c r="AK7" s="467"/>
      <c r="AM7" s="467" t="s">
        <v>238</v>
      </c>
      <c r="AN7" s="467"/>
      <c r="AO7" s="467"/>
      <c r="AP7" s="467"/>
      <c r="AQ7" s="467"/>
      <c r="AR7" s="467"/>
      <c r="AT7" s="467" t="s">
        <v>239</v>
      </c>
      <c r="AU7" s="467"/>
      <c r="AV7" s="467"/>
      <c r="AW7" s="467"/>
      <c r="AX7" s="467"/>
      <c r="AY7" s="467"/>
    </row>
    <row r="8" spans="1:51" x14ac:dyDescent="0.4">
      <c r="A8" s="3" t="s">
        <v>229</v>
      </c>
      <c r="B8" s="152">
        <f>一次エネ消費量表紙!AE22</f>
        <v>2.1</v>
      </c>
      <c r="C8" s="12"/>
      <c r="D8" s="444" t="s">
        <v>256</v>
      </c>
      <c r="E8" s="445"/>
      <c r="F8" s="446"/>
      <c r="G8" s="3">
        <f>IF(G10&gt;0,1,0)</f>
        <v>1</v>
      </c>
      <c r="R8" s="467"/>
      <c r="S8" s="467"/>
      <c r="T8" s="467"/>
      <c r="U8" s="467"/>
      <c r="V8" s="467"/>
      <c r="W8" s="467"/>
      <c r="Y8" s="467"/>
      <c r="Z8" s="467"/>
      <c r="AA8" s="467"/>
      <c r="AB8" s="467"/>
      <c r="AC8" s="467"/>
      <c r="AD8" s="467"/>
      <c r="AF8" s="467"/>
      <c r="AG8" s="467"/>
      <c r="AH8" s="467"/>
      <c r="AI8" s="467"/>
      <c r="AJ8" s="467"/>
      <c r="AK8" s="467"/>
      <c r="AM8" s="467"/>
      <c r="AN8" s="467"/>
      <c r="AO8" s="467"/>
      <c r="AP8" s="467"/>
      <c r="AQ8" s="467"/>
      <c r="AR8" s="467"/>
      <c r="AT8" s="467"/>
      <c r="AU8" s="467"/>
      <c r="AV8" s="467"/>
      <c r="AW8" s="467"/>
      <c r="AX8" s="467"/>
      <c r="AY8" s="467"/>
    </row>
    <row r="9" spans="1:51" x14ac:dyDescent="0.4">
      <c r="A9" s="3" t="s">
        <v>232</v>
      </c>
      <c r="B9" s="152">
        <f>一次エネ消費量表紙!AE21</f>
        <v>2.2000000000000002</v>
      </c>
      <c r="C9" s="12"/>
      <c r="D9" s="418" t="s">
        <v>257</v>
      </c>
      <c r="E9" s="418"/>
      <c r="F9" s="418"/>
      <c r="G9" s="3">
        <f>B53</f>
        <v>48</v>
      </c>
      <c r="R9" s="467"/>
      <c r="S9" s="467"/>
      <c r="T9" s="467"/>
      <c r="U9" s="467"/>
      <c r="V9" s="467"/>
      <c r="W9" s="467"/>
      <c r="Y9" s="467"/>
      <c r="Z9" s="467"/>
      <c r="AA9" s="467"/>
      <c r="AB9" s="467"/>
      <c r="AC9" s="467"/>
      <c r="AD9" s="467"/>
      <c r="AF9" s="467"/>
      <c r="AG9" s="467"/>
      <c r="AH9" s="467"/>
      <c r="AI9" s="467"/>
      <c r="AJ9" s="467"/>
      <c r="AK9" s="467"/>
      <c r="AM9" s="467"/>
      <c r="AN9" s="467"/>
      <c r="AO9" s="467"/>
      <c r="AP9" s="467"/>
      <c r="AQ9" s="467"/>
      <c r="AR9" s="467"/>
      <c r="AT9" s="467"/>
      <c r="AU9" s="467"/>
      <c r="AV9" s="467"/>
      <c r="AW9" s="467"/>
      <c r="AX9" s="467"/>
      <c r="AY9" s="467"/>
    </row>
    <row r="10" spans="1:51" x14ac:dyDescent="0.4">
      <c r="A10" s="85" t="s">
        <v>243</v>
      </c>
      <c r="B10" s="3">
        <f>一次エネ消費量表紙!C15</f>
        <v>1</v>
      </c>
      <c r="C10" s="12"/>
      <c r="D10" s="418" t="s">
        <v>258</v>
      </c>
      <c r="E10" s="418"/>
      <c r="F10" s="418"/>
      <c r="G10" s="3">
        <f>B99</f>
        <v>3</v>
      </c>
      <c r="R10" s="467"/>
      <c r="S10" s="467"/>
      <c r="T10" s="467"/>
      <c r="U10" s="467"/>
      <c r="V10" s="467"/>
      <c r="W10" s="467"/>
      <c r="Y10" s="467"/>
      <c r="Z10" s="467"/>
      <c r="AA10" s="467"/>
      <c r="AB10" s="467"/>
      <c r="AC10" s="467"/>
      <c r="AD10" s="467"/>
      <c r="AF10" s="467"/>
      <c r="AG10" s="467"/>
      <c r="AH10" s="467"/>
      <c r="AI10" s="467"/>
      <c r="AJ10" s="467"/>
      <c r="AK10" s="467"/>
      <c r="AM10" s="467"/>
      <c r="AN10" s="467"/>
      <c r="AO10" s="467"/>
      <c r="AP10" s="467"/>
      <c r="AQ10" s="467"/>
      <c r="AR10" s="467"/>
      <c r="AT10" s="467"/>
      <c r="AU10" s="467"/>
      <c r="AV10" s="467"/>
      <c r="AW10" s="467"/>
      <c r="AX10" s="467"/>
      <c r="AY10" s="467"/>
    </row>
    <row r="11" spans="1:51" x14ac:dyDescent="0.4">
      <c r="C11" s="2"/>
      <c r="D11" s="2"/>
      <c r="R11" s="467"/>
      <c r="S11" s="467"/>
      <c r="T11" s="467"/>
      <c r="U11" s="467"/>
      <c r="V11" s="467"/>
      <c r="W11" s="467"/>
      <c r="Y11" s="467"/>
      <c r="Z11" s="467"/>
      <c r="AA11" s="467"/>
      <c r="AB11" s="467"/>
      <c r="AC11" s="467"/>
      <c r="AD11" s="467"/>
      <c r="AF11" s="467"/>
      <c r="AG11" s="467"/>
      <c r="AH11" s="467"/>
      <c r="AI11" s="467"/>
      <c r="AJ11" s="467"/>
      <c r="AK11" s="467"/>
      <c r="AM11" s="467"/>
      <c r="AN11" s="467"/>
      <c r="AO11" s="467"/>
      <c r="AP11" s="467"/>
      <c r="AQ11" s="467"/>
      <c r="AR11" s="467"/>
      <c r="AT11" s="467"/>
      <c r="AU11" s="467"/>
      <c r="AV11" s="467"/>
      <c r="AW11" s="467"/>
      <c r="AX11" s="467"/>
      <c r="AY11" s="467"/>
    </row>
    <row r="12" spans="1:51" x14ac:dyDescent="0.4">
      <c r="B12" s="444" t="s">
        <v>231</v>
      </c>
      <c r="C12" s="445"/>
      <c r="D12" s="445"/>
      <c r="E12" s="445"/>
      <c r="F12" s="445"/>
      <c r="G12" s="445"/>
      <c r="H12" s="445"/>
      <c r="I12" s="445"/>
      <c r="J12" s="446"/>
      <c r="R12" s="467"/>
      <c r="S12" s="467"/>
      <c r="T12" s="467"/>
      <c r="U12" s="467"/>
      <c r="V12" s="467"/>
      <c r="W12" s="467"/>
      <c r="Y12" s="467"/>
      <c r="Z12" s="467"/>
      <c r="AA12" s="467"/>
      <c r="AB12" s="467"/>
      <c r="AC12" s="467"/>
      <c r="AD12" s="467"/>
      <c r="AF12" s="467"/>
      <c r="AG12" s="467"/>
      <c r="AH12" s="467"/>
      <c r="AI12" s="467"/>
      <c r="AJ12" s="467"/>
      <c r="AK12" s="467"/>
      <c r="AM12" s="467"/>
      <c r="AN12" s="467"/>
      <c r="AO12" s="467"/>
      <c r="AP12" s="467"/>
      <c r="AQ12" s="467"/>
      <c r="AR12" s="467"/>
      <c r="AT12" s="467"/>
      <c r="AU12" s="467"/>
      <c r="AV12" s="467"/>
      <c r="AW12" s="467"/>
      <c r="AX12" s="467"/>
      <c r="AY12" s="467"/>
    </row>
    <row r="13" spans="1:51" ht="19.5" thickBot="1" x14ac:dyDescent="0.45">
      <c r="B13" s="451" t="s">
        <v>235</v>
      </c>
      <c r="C13" s="452"/>
      <c r="D13" s="454" t="s">
        <v>233</v>
      </c>
      <c r="E13" s="454" t="s">
        <v>229</v>
      </c>
      <c r="F13" s="451" t="s">
        <v>234</v>
      </c>
      <c r="G13" s="453"/>
      <c r="H13" s="453"/>
      <c r="I13" s="453"/>
      <c r="J13" s="452"/>
      <c r="R13" s="468"/>
      <c r="S13" s="468"/>
      <c r="T13" s="468"/>
      <c r="U13" s="468"/>
      <c r="V13" s="468"/>
      <c r="W13" s="468"/>
      <c r="Y13" s="468"/>
      <c r="Z13" s="468"/>
      <c r="AA13" s="468"/>
      <c r="AB13" s="468"/>
      <c r="AC13" s="468"/>
      <c r="AD13" s="468"/>
      <c r="AF13" s="468"/>
      <c r="AG13" s="468"/>
      <c r="AH13" s="468"/>
      <c r="AI13" s="468"/>
      <c r="AJ13" s="468"/>
      <c r="AK13" s="468"/>
      <c r="AM13" s="468"/>
      <c r="AN13" s="468"/>
      <c r="AO13" s="468"/>
      <c r="AP13" s="468"/>
      <c r="AQ13" s="468"/>
      <c r="AR13" s="468"/>
      <c r="AT13" s="468"/>
      <c r="AU13" s="468"/>
      <c r="AV13" s="468"/>
      <c r="AW13" s="468"/>
      <c r="AX13" s="468"/>
      <c r="AY13" s="468"/>
    </row>
    <row r="14" spans="1:51" ht="19.5" thickBot="1" x14ac:dyDescent="0.45">
      <c r="A14" s="3" t="s">
        <v>244</v>
      </c>
      <c r="B14" s="41" t="s">
        <v>234</v>
      </c>
      <c r="C14" s="42" t="s">
        <v>242</v>
      </c>
      <c r="D14" s="455"/>
      <c r="E14" s="455"/>
      <c r="F14" s="3">
        <v>1</v>
      </c>
      <c r="G14" s="3">
        <v>2</v>
      </c>
      <c r="H14" s="3">
        <v>3</v>
      </c>
      <c r="I14" s="3">
        <v>4</v>
      </c>
      <c r="J14" s="3">
        <v>5</v>
      </c>
      <c r="M14" s="460" t="s">
        <v>41</v>
      </c>
      <c r="N14" s="461"/>
      <c r="O14" s="461"/>
      <c r="P14" s="461"/>
      <c r="Q14" s="461"/>
      <c r="R14" s="461" t="s">
        <v>34</v>
      </c>
      <c r="S14" s="461"/>
      <c r="T14" s="461"/>
      <c r="U14" s="461"/>
      <c r="V14" s="461"/>
      <c r="W14" s="55" t="s">
        <v>44</v>
      </c>
      <c r="X14" s="50"/>
      <c r="Y14" s="461" t="s">
        <v>34</v>
      </c>
      <c r="Z14" s="461"/>
      <c r="AA14" s="461"/>
      <c r="AB14" s="461"/>
      <c r="AC14" s="461"/>
      <c r="AD14" s="55" t="s">
        <v>44</v>
      </c>
      <c r="AE14" s="50"/>
      <c r="AF14" s="461" t="s">
        <v>34</v>
      </c>
      <c r="AG14" s="461"/>
      <c r="AH14" s="461"/>
      <c r="AI14" s="461"/>
      <c r="AJ14" s="461"/>
      <c r="AK14" s="55" t="s">
        <v>44</v>
      </c>
      <c r="AL14" s="50"/>
      <c r="AM14" s="461" t="s">
        <v>34</v>
      </c>
      <c r="AN14" s="461"/>
      <c r="AO14" s="461"/>
      <c r="AP14" s="461"/>
      <c r="AQ14" s="461"/>
      <c r="AR14" s="55" t="s">
        <v>44</v>
      </c>
      <c r="AS14" s="50"/>
      <c r="AT14" s="461" t="s">
        <v>34</v>
      </c>
      <c r="AU14" s="461"/>
      <c r="AV14" s="461"/>
      <c r="AW14" s="461"/>
      <c r="AX14" s="461"/>
      <c r="AY14" s="56" t="s">
        <v>44</v>
      </c>
    </row>
    <row r="15" spans="1:51" x14ac:dyDescent="0.4">
      <c r="A15" s="38">
        <v>1</v>
      </c>
      <c r="B15" s="166">
        <f t="shared" ref="B15:B52" si="0">IF(C15=1,INDEX(暖房配列4地域,A15,暖房方式番号Z),0)</f>
        <v>48</v>
      </c>
      <c r="C15" s="37">
        <f t="shared" ref="C15:C21" si="1">IF(AND(D15=1,E15=1),1,0)</f>
        <v>1</v>
      </c>
      <c r="D15" s="40">
        <f>IF(UA値z&lt;=Q15,1,0)</f>
        <v>1</v>
      </c>
      <c r="E15" s="40">
        <f>IF(AND(R15&lt;=ηAH,ηAH&lt;V15),1,0)</f>
        <v>1</v>
      </c>
      <c r="F15" s="154">
        <f t="shared" ref="F15:F52" si="2">IF(E15=1,W15,0)</f>
        <v>48</v>
      </c>
      <c r="G15" s="155">
        <f t="shared" ref="G15:G52" si="3">IF(E15=1,AD15,0)</f>
        <v>48</v>
      </c>
      <c r="H15" s="155">
        <f t="shared" ref="H15:H52" si="4">IF(E15=1,AK15,0)</f>
        <v>41</v>
      </c>
      <c r="I15" s="155">
        <f t="shared" ref="I15:I52" si="5">IF(E15=1,AR15,0)</f>
        <v>49</v>
      </c>
      <c r="J15" s="156">
        <f t="shared" ref="J15:J52" si="6">IF(E15=1,AY15,0)</f>
        <v>49</v>
      </c>
      <c r="M15" s="77"/>
      <c r="O15" t="s">
        <v>45</v>
      </c>
      <c r="P15" t="s">
        <v>42</v>
      </c>
      <c r="Q15" s="1">
        <v>0.65</v>
      </c>
      <c r="R15" s="13">
        <v>1.7</v>
      </c>
      <c r="S15" s="2" t="s">
        <v>42</v>
      </c>
      <c r="T15" s="2" t="s">
        <v>43</v>
      </c>
      <c r="U15" s="2" t="s">
        <v>46</v>
      </c>
      <c r="V15" s="43">
        <v>2.2000000000000002</v>
      </c>
      <c r="W15" s="42">
        <v>48</v>
      </c>
      <c r="Y15" s="13"/>
      <c r="Z15" s="2"/>
      <c r="AA15" s="2"/>
      <c r="AB15" s="2"/>
      <c r="AC15" s="43"/>
      <c r="AD15" s="42">
        <v>48</v>
      </c>
      <c r="AF15" s="13"/>
      <c r="AG15" s="2"/>
      <c r="AH15" s="2"/>
      <c r="AI15" s="2"/>
      <c r="AJ15" s="43"/>
      <c r="AK15" s="42">
        <v>41</v>
      </c>
      <c r="AM15" s="13"/>
      <c r="AN15" s="2"/>
      <c r="AO15" s="2"/>
      <c r="AP15" s="2"/>
      <c r="AQ15" s="43"/>
      <c r="AR15" s="42">
        <v>49</v>
      </c>
      <c r="AT15" s="13"/>
      <c r="AU15" s="2"/>
      <c r="AV15" s="2"/>
      <c r="AW15" s="2"/>
      <c r="AX15" s="43"/>
      <c r="AY15" s="74">
        <v>49</v>
      </c>
    </row>
    <row r="16" spans="1:51" x14ac:dyDescent="0.4">
      <c r="A16" s="12">
        <f>A15+1</f>
        <v>2</v>
      </c>
      <c r="B16" s="167">
        <f t="shared" si="0"/>
        <v>0</v>
      </c>
      <c r="C16" s="1">
        <f t="shared" si="1"/>
        <v>0</v>
      </c>
      <c r="D16" s="41">
        <f>D15</f>
        <v>1</v>
      </c>
      <c r="E16" s="41">
        <f t="shared" ref="E16:E49" si="7">IF(AND(R16&lt;=ηAH,ηAH&lt;V16),1,0)</f>
        <v>0</v>
      </c>
      <c r="F16" s="157">
        <f t="shared" si="2"/>
        <v>0</v>
      </c>
      <c r="G16" s="158">
        <f t="shared" si="3"/>
        <v>0</v>
      </c>
      <c r="H16" s="158">
        <f t="shared" si="4"/>
        <v>0</v>
      </c>
      <c r="I16" s="158">
        <f t="shared" si="5"/>
        <v>0</v>
      </c>
      <c r="J16" s="159">
        <f t="shared" si="6"/>
        <v>0</v>
      </c>
      <c r="M16" s="77"/>
      <c r="Q16" s="1"/>
      <c r="R16" s="4">
        <v>2.2000000000000002</v>
      </c>
      <c r="S16" s="7" t="s">
        <v>42</v>
      </c>
      <c r="T16" s="7" t="s">
        <v>43</v>
      </c>
      <c r="U16" s="7" t="s">
        <v>46</v>
      </c>
      <c r="V16" s="5">
        <v>2.7</v>
      </c>
      <c r="W16" s="3">
        <v>44</v>
      </c>
      <c r="Y16" s="4"/>
      <c r="Z16" s="7"/>
      <c r="AA16" s="7"/>
      <c r="AB16" s="7"/>
      <c r="AC16" s="5"/>
      <c r="AD16" s="3">
        <v>44</v>
      </c>
      <c r="AF16" s="4"/>
      <c r="AG16" s="7"/>
      <c r="AH16" s="7"/>
      <c r="AI16" s="7"/>
      <c r="AJ16" s="5"/>
      <c r="AK16" s="3">
        <v>39</v>
      </c>
      <c r="AM16" s="4"/>
      <c r="AN16" s="7"/>
      <c r="AO16" s="7"/>
      <c r="AP16" s="7"/>
      <c r="AQ16" s="5"/>
      <c r="AR16" s="3">
        <v>46</v>
      </c>
      <c r="AT16" s="4"/>
      <c r="AU16" s="7"/>
      <c r="AV16" s="7"/>
      <c r="AW16" s="7"/>
      <c r="AX16" s="5"/>
      <c r="AY16" s="62">
        <v>46</v>
      </c>
    </row>
    <row r="17" spans="1:51" x14ac:dyDescent="0.4">
      <c r="A17" s="12">
        <f t="shared" ref="A17:A52" si="8">A16+1</f>
        <v>3</v>
      </c>
      <c r="B17" s="167">
        <f t="shared" si="0"/>
        <v>0</v>
      </c>
      <c r="C17" s="1">
        <f t="shared" si="1"/>
        <v>0</v>
      </c>
      <c r="D17" s="41">
        <f>D15</f>
        <v>1</v>
      </c>
      <c r="E17" s="41">
        <f t="shared" si="7"/>
        <v>0</v>
      </c>
      <c r="F17" s="157">
        <f t="shared" si="2"/>
        <v>0</v>
      </c>
      <c r="G17" s="158">
        <f t="shared" si="3"/>
        <v>0</v>
      </c>
      <c r="H17" s="158">
        <f t="shared" si="4"/>
        <v>0</v>
      </c>
      <c r="I17" s="158">
        <f t="shared" si="5"/>
        <v>0</v>
      </c>
      <c r="J17" s="159">
        <f t="shared" si="6"/>
        <v>0</v>
      </c>
      <c r="M17" s="77"/>
      <c r="Q17" s="1"/>
      <c r="R17" s="4">
        <v>2.7</v>
      </c>
      <c r="S17" s="7" t="s">
        <v>42</v>
      </c>
      <c r="T17" s="7" t="s">
        <v>43</v>
      </c>
      <c r="U17" s="7" t="s">
        <v>46</v>
      </c>
      <c r="V17" s="5">
        <v>3.2</v>
      </c>
      <c r="W17" s="3">
        <v>41</v>
      </c>
      <c r="Y17" s="4"/>
      <c r="Z17" s="7"/>
      <c r="AA17" s="7"/>
      <c r="AB17" s="7"/>
      <c r="AC17" s="5"/>
      <c r="AD17" s="3">
        <v>41</v>
      </c>
      <c r="AF17" s="4"/>
      <c r="AG17" s="7"/>
      <c r="AH17" s="7"/>
      <c r="AI17" s="7"/>
      <c r="AJ17" s="5"/>
      <c r="AK17" s="3">
        <v>37</v>
      </c>
      <c r="AM17" s="4"/>
      <c r="AN17" s="7"/>
      <c r="AO17" s="7"/>
      <c r="AP17" s="7"/>
      <c r="AQ17" s="5"/>
      <c r="AR17" s="3">
        <v>43</v>
      </c>
      <c r="AT17" s="4"/>
      <c r="AU17" s="7"/>
      <c r="AV17" s="7"/>
      <c r="AW17" s="7"/>
      <c r="AX17" s="5"/>
      <c r="AY17" s="62">
        <v>42</v>
      </c>
    </row>
    <row r="18" spans="1:51" x14ac:dyDescent="0.4">
      <c r="A18" s="12">
        <f t="shared" si="8"/>
        <v>4</v>
      </c>
      <c r="B18" s="167">
        <f>IF(C18=1,INDEX(暖房配列4地域,A18,暖房方式番号Z),0)</f>
        <v>0</v>
      </c>
      <c r="C18" s="1">
        <f t="shared" si="1"/>
        <v>0</v>
      </c>
      <c r="D18" s="41">
        <f>D15</f>
        <v>1</v>
      </c>
      <c r="E18" s="41">
        <f t="shared" si="7"/>
        <v>0</v>
      </c>
      <c r="F18" s="157">
        <f t="shared" si="2"/>
        <v>0</v>
      </c>
      <c r="G18" s="158">
        <f t="shared" si="3"/>
        <v>0</v>
      </c>
      <c r="H18" s="158">
        <f t="shared" si="4"/>
        <v>0</v>
      </c>
      <c r="I18" s="158">
        <f t="shared" si="5"/>
        <v>0</v>
      </c>
      <c r="J18" s="159">
        <f t="shared" si="6"/>
        <v>0</v>
      </c>
      <c r="M18" s="77"/>
      <c r="Q18" s="1"/>
      <c r="R18" s="4">
        <v>3.2</v>
      </c>
      <c r="S18" s="7" t="s">
        <v>42</v>
      </c>
      <c r="T18" s="7" t="s">
        <v>43</v>
      </c>
      <c r="U18" s="7" t="s">
        <v>46</v>
      </c>
      <c r="V18" s="5">
        <v>3.7</v>
      </c>
      <c r="W18" s="3">
        <v>37</v>
      </c>
      <c r="Y18" s="4"/>
      <c r="Z18" s="7"/>
      <c r="AA18" s="7"/>
      <c r="AB18" s="7"/>
      <c r="AC18" s="5"/>
      <c r="AD18" s="3">
        <v>37</v>
      </c>
      <c r="AF18" s="4"/>
      <c r="AG18" s="7"/>
      <c r="AH18" s="7"/>
      <c r="AI18" s="7"/>
      <c r="AJ18" s="5"/>
      <c r="AK18" s="3">
        <v>35</v>
      </c>
      <c r="AM18" s="4"/>
      <c r="AN18" s="7"/>
      <c r="AO18" s="7"/>
      <c r="AP18" s="7"/>
      <c r="AQ18" s="5"/>
      <c r="AR18" s="3">
        <v>40</v>
      </c>
      <c r="AT18" s="4"/>
      <c r="AU18" s="7"/>
      <c r="AV18" s="7"/>
      <c r="AW18" s="7"/>
      <c r="AX18" s="5"/>
      <c r="AY18" s="62">
        <v>39</v>
      </c>
    </row>
    <row r="19" spans="1:51" x14ac:dyDescent="0.4">
      <c r="A19" s="12">
        <f t="shared" si="8"/>
        <v>5</v>
      </c>
      <c r="B19" s="167">
        <f t="shared" si="0"/>
        <v>0</v>
      </c>
      <c r="C19" s="1">
        <f t="shared" si="1"/>
        <v>0</v>
      </c>
      <c r="D19" s="41">
        <f>D15</f>
        <v>1</v>
      </c>
      <c r="E19" s="41">
        <f t="shared" si="7"/>
        <v>0</v>
      </c>
      <c r="F19" s="157">
        <f t="shared" si="2"/>
        <v>0</v>
      </c>
      <c r="G19" s="158">
        <f t="shared" si="3"/>
        <v>0</v>
      </c>
      <c r="H19" s="158">
        <f t="shared" si="4"/>
        <v>0</v>
      </c>
      <c r="I19" s="158">
        <f t="shared" si="5"/>
        <v>0</v>
      </c>
      <c r="J19" s="159">
        <f t="shared" si="6"/>
        <v>0</v>
      </c>
      <c r="M19" s="77"/>
      <c r="Q19" s="1"/>
      <c r="R19" s="4">
        <v>3.7</v>
      </c>
      <c r="S19" s="7" t="s">
        <v>42</v>
      </c>
      <c r="T19" s="7" t="s">
        <v>43</v>
      </c>
      <c r="U19" s="7" t="s">
        <v>46</v>
      </c>
      <c r="V19" s="5">
        <v>4.2</v>
      </c>
      <c r="W19" s="3">
        <v>34</v>
      </c>
      <c r="Y19" s="4"/>
      <c r="Z19" s="7"/>
      <c r="AA19" s="7"/>
      <c r="AB19" s="7"/>
      <c r="AC19" s="5"/>
      <c r="AD19" s="3">
        <v>34</v>
      </c>
      <c r="AF19" s="4"/>
      <c r="AG19" s="7"/>
      <c r="AH19" s="7"/>
      <c r="AI19" s="7"/>
      <c r="AJ19" s="5"/>
      <c r="AK19" s="3">
        <v>32</v>
      </c>
      <c r="AM19" s="4"/>
      <c r="AN19" s="7"/>
      <c r="AO19" s="7"/>
      <c r="AP19" s="7"/>
      <c r="AQ19" s="5"/>
      <c r="AR19" s="3">
        <v>36</v>
      </c>
      <c r="AT19" s="4"/>
      <c r="AU19" s="7"/>
      <c r="AV19" s="7"/>
      <c r="AW19" s="7"/>
      <c r="AX19" s="5"/>
      <c r="AY19" s="62">
        <v>36</v>
      </c>
    </row>
    <row r="20" spans="1:51" ht="19.5" thickBot="1" x14ac:dyDescent="0.45">
      <c r="A20" s="12">
        <f t="shared" si="8"/>
        <v>6</v>
      </c>
      <c r="B20" s="167">
        <f t="shared" si="0"/>
        <v>0</v>
      </c>
      <c r="C20" s="43">
        <f t="shared" si="1"/>
        <v>0</v>
      </c>
      <c r="D20" s="42">
        <f>D15</f>
        <v>1</v>
      </c>
      <c r="E20" s="42">
        <f>IF(R20&lt;=ηAH,1,0)</f>
        <v>0</v>
      </c>
      <c r="F20" s="160">
        <f t="shared" si="2"/>
        <v>0</v>
      </c>
      <c r="G20" s="161">
        <f t="shared" si="3"/>
        <v>0</v>
      </c>
      <c r="H20" s="161">
        <f t="shared" si="4"/>
        <v>0</v>
      </c>
      <c r="I20" s="161">
        <f t="shared" si="5"/>
        <v>0</v>
      </c>
      <c r="J20" s="162">
        <f t="shared" si="6"/>
        <v>0</v>
      </c>
      <c r="M20" s="77"/>
      <c r="Q20" s="1"/>
      <c r="R20" s="38">
        <v>4.2</v>
      </c>
      <c r="S20" s="39" t="s">
        <v>42</v>
      </c>
      <c r="T20" s="39" t="s">
        <v>43</v>
      </c>
      <c r="U20" s="39"/>
      <c r="V20" s="37"/>
      <c r="W20" s="40">
        <v>32</v>
      </c>
      <c r="Y20" s="38"/>
      <c r="Z20" s="39"/>
      <c r="AA20" s="39"/>
      <c r="AB20" s="39"/>
      <c r="AC20" s="37"/>
      <c r="AD20" s="40">
        <v>32</v>
      </c>
      <c r="AF20" s="38"/>
      <c r="AG20" s="39"/>
      <c r="AH20" s="39"/>
      <c r="AI20" s="39"/>
      <c r="AJ20" s="37"/>
      <c r="AK20" s="40">
        <v>30</v>
      </c>
      <c r="AM20" s="38"/>
      <c r="AN20" s="39"/>
      <c r="AO20" s="39"/>
      <c r="AP20" s="39"/>
      <c r="AQ20" s="37"/>
      <c r="AR20" s="40">
        <v>34</v>
      </c>
      <c r="AT20" s="38"/>
      <c r="AU20" s="39"/>
      <c r="AV20" s="39"/>
      <c r="AW20" s="39"/>
      <c r="AX20" s="37"/>
      <c r="AY20" s="73">
        <v>33</v>
      </c>
    </row>
    <row r="21" spans="1:51" x14ac:dyDescent="0.4">
      <c r="A21" s="12">
        <f t="shared" si="8"/>
        <v>7</v>
      </c>
      <c r="B21" s="167">
        <f t="shared" si="0"/>
        <v>0</v>
      </c>
      <c r="C21" s="37">
        <f t="shared" si="1"/>
        <v>0</v>
      </c>
      <c r="D21" s="40">
        <f>IF(AND(M21&lt;UA値z,UA値z&lt;=Q21),1,0)</f>
        <v>0</v>
      </c>
      <c r="E21" s="40">
        <f t="shared" si="7"/>
        <v>1</v>
      </c>
      <c r="F21" s="154">
        <f t="shared" si="2"/>
        <v>51</v>
      </c>
      <c r="G21" s="155">
        <f t="shared" si="3"/>
        <v>51</v>
      </c>
      <c r="H21" s="155">
        <f t="shared" si="4"/>
        <v>43</v>
      </c>
      <c r="I21" s="155">
        <f t="shared" si="5"/>
        <v>52</v>
      </c>
      <c r="J21" s="156">
        <f t="shared" si="6"/>
        <v>52</v>
      </c>
      <c r="M21" s="149">
        <v>0.65</v>
      </c>
      <c r="N21" s="60" t="s">
        <v>46</v>
      </c>
      <c r="O21" s="60" t="s">
        <v>45</v>
      </c>
      <c r="P21" s="60" t="s">
        <v>42</v>
      </c>
      <c r="Q21" s="150">
        <v>0.7</v>
      </c>
      <c r="R21" s="70">
        <v>1.7</v>
      </c>
      <c r="S21" s="47" t="s">
        <v>42</v>
      </c>
      <c r="T21" s="47" t="s">
        <v>43</v>
      </c>
      <c r="U21" s="47" t="s">
        <v>46</v>
      </c>
      <c r="V21" s="76">
        <v>2.2000000000000002</v>
      </c>
      <c r="W21" s="59">
        <v>51</v>
      </c>
      <c r="X21" s="60"/>
      <c r="Y21" s="70"/>
      <c r="Z21" s="47"/>
      <c r="AA21" s="47"/>
      <c r="AB21" s="47"/>
      <c r="AC21" s="76"/>
      <c r="AD21" s="59">
        <v>51</v>
      </c>
      <c r="AE21" s="60"/>
      <c r="AF21" s="70"/>
      <c r="AG21" s="47"/>
      <c r="AH21" s="47"/>
      <c r="AI21" s="47"/>
      <c r="AJ21" s="76"/>
      <c r="AK21" s="59">
        <v>43</v>
      </c>
      <c r="AL21" s="60"/>
      <c r="AM21" s="70"/>
      <c r="AN21" s="47"/>
      <c r="AO21" s="47"/>
      <c r="AP21" s="47"/>
      <c r="AQ21" s="76"/>
      <c r="AR21" s="59">
        <v>52</v>
      </c>
      <c r="AS21" s="60"/>
      <c r="AT21" s="70"/>
      <c r="AU21" s="47"/>
      <c r="AV21" s="47"/>
      <c r="AW21" s="47"/>
      <c r="AX21" s="76"/>
      <c r="AY21" s="61">
        <v>52</v>
      </c>
    </row>
    <row r="22" spans="1:51" x14ac:dyDescent="0.4">
      <c r="A22" s="12">
        <f t="shared" si="8"/>
        <v>8</v>
      </c>
      <c r="B22" s="167">
        <f t="shared" si="0"/>
        <v>0</v>
      </c>
      <c r="C22" s="1">
        <f t="shared" ref="C22:C26" si="9">IF(AND(D22=1,E22=1),1,0)</f>
        <v>0</v>
      </c>
      <c r="D22" s="41">
        <f>D21</f>
        <v>0</v>
      </c>
      <c r="E22" s="41">
        <f t="shared" si="7"/>
        <v>0</v>
      </c>
      <c r="F22" s="157">
        <f t="shared" si="2"/>
        <v>0</v>
      </c>
      <c r="G22" s="158">
        <f t="shared" si="3"/>
        <v>0</v>
      </c>
      <c r="H22" s="158">
        <f t="shared" si="4"/>
        <v>0</v>
      </c>
      <c r="I22" s="158">
        <f t="shared" si="5"/>
        <v>0</v>
      </c>
      <c r="J22" s="159">
        <f t="shared" si="6"/>
        <v>0</v>
      </c>
      <c r="M22" s="77"/>
      <c r="Q22" s="1"/>
      <c r="R22" s="4">
        <v>2.2000000000000002</v>
      </c>
      <c r="S22" s="7" t="s">
        <v>42</v>
      </c>
      <c r="T22" s="7" t="s">
        <v>43</v>
      </c>
      <c r="U22" s="7" t="s">
        <v>46</v>
      </c>
      <c r="V22" s="5">
        <v>2.7</v>
      </c>
      <c r="W22" s="3">
        <v>47</v>
      </c>
      <c r="Y22" s="4"/>
      <c r="Z22" s="7"/>
      <c r="AA22" s="7"/>
      <c r="AB22" s="7"/>
      <c r="AC22" s="5"/>
      <c r="AD22" s="3">
        <v>47</v>
      </c>
      <c r="AF22" s="4"/>
      <c r="AG22" s="7"/>
      <c r="AH22" s="7"/>
      <c r="AI22" s="7"/>
      <c r="AJ22" s="5"/>
      <c r="AK22" s="3">
        <v>41</v>
      </c>
      <c r="AM22" s="4"/>
      <c r="AN22" s="7"/>
      <c r="AO22" s="7"/>
      <c r="AP22" s="7"/>
      <c r="AQ22" s="5"/>
      <c r="AR22" s="3">
        <v>49</v>
      </c>
      <c r="AT22" s="4"/>
      <c r="AU22" s="7"/>
      <c r="AV22" s="7"/>
      <c r="AW22" s="7"/>
      <c r="AX22" s="5"/>
      <c r="AY22" s="62">
        <v>48</v>
      </c>
    </row>
    <row r="23" spans="1:51" x14ac:dyDescent="0.4">
      <c r="A23" s="12">
        <f t="shared" si="8"/>
        <v>9</v>
      </c>
      <c r="B23" s="167">
        <f t="shared" si="0"/>
        <v>0</v>
      </c>
      <c r="C23" s="1">
        <f t="shared" si="9"/>
        <v>0</v>
      </c>
      <c r="D23" s="41">
        <f>D21</f>
        <v>0</v>
      </c>
      <c r="E23" s="41">
        <f t="shared" si="7"/>
        <v>0</v>
      </c>
      <c r="F23" s="157">
        <f t="shared" si="2"/>
        <v>0</v>
      </c>
      <c r="G23" s="158">
        <f t="shared" si="3"/>
        <v>0</v>
      </c>
      <c r="H23" s="158">
        <f t="shared" si="4"/>
        <v>0</v>
      </c>
      <c r="I23" s="158">
        <f t="shared" si="5"/>
        <v>0</v>
      </c>
      <c r="J23" s="159">
        <f t="shared" si="6"/>
        <v>0</v>
      </c>
      <c r="M23" s="77"/>
      <c r="Q23" s="1"/>
      <c r="R23" s="4">
        <v>2.7</v>
      </c>
      <c r="S23" s="7" t="s">
        <v>42</v>
      </c>
      <c r="T23" s="7" t="s">
        <v>43</v>
      </c>
      <c r="U23" s="7" t="s">
        <v>46</v>
      </c>
      <c r="V23" s="5">
        <v>3.2</v>
      </c>
      <c r="W23" s="3">
        <v>44</v>
      </c>
      <c r="Y23" s="4"/>
      <c r="Z23" s="7"/>
      <c r="AA23" s="7"/>
      <c r="AB23" s="7"/>
      <c r="AC23" s="5"/>
      <c r="AD23" s="3">
        <v>44</v>
      </c>
      <c r="AF23" s="4"/>
      <c r="AG23" s="7"/>
      <c r="AH23" s="7"/>
      <c r="AI23" s="7"/>
      <c r="AJ23" s="5"/>
      <c r="AK23" s="3">
        <v>39</v>
      </c>
      <c r="AM23" s="4"/>
      <c r="AN23" s="7"/>
      <c r="AO23" s="7"/>
      <c r="AP23" s="7"/>
      <c r="AQ23" s="5"/>
      <c r="AR23" s="3">
        <v>45</v>
      </c>
      <c r="AT23" s="4"/>
      <c r="AU23" s="7"/>
      <c r="AV23" s="7"/>
      <c r="AW23" s="7"/>
      <c r="AX23" s="5"/>
      <c r="AY23" s="62">
        <v>45</v>
      </c>
    </row>
    <row r="24" spans="1:51" x14ac:dyDescent="0.4">
      <c r="A24" s="12">
        <f t="shared" si="8"/>
        <v>10</v>
      </c>
      <c r="B24" s="167">
        <f t="shared" si="0"/>
        <v>0</v>
      </c>
      <c r="C24" s="1">
        <f t="shared" si="9"/>
        <v>0</v>
      </c>
      <c r="D24" s="41">
        <f>D21</f>
        <v>0</v>
      </c>
      <c r="E24" s="41">
        <f t="shared" si="7"/>
        <v>0</v>
      </c>
      <c r="F24" s="157">
        <f t="shared" si="2"/>
        <v>0</v>
      </c>
      <c r="G24" s="158">
        <f t="shared" si="3"/>
        <v>0</v>
      </c>
      <c r="H24" s="158">
        <f t="shared" si="4"/>
        <v>0</v>
      </c>
      <c r="I24" s="158">
        <f t="shared" si="5"/>
        <v>0</v>
      </c>
      <c r="J24" s="159">
        <f t="shared" si="6"/>
        <v>0</v>
      </c>
      <c r="M24" s="77"/>
      <c r="Q24" s="1"/>
      <c r="R24" s="4">
        <v>3.2</v>
      </c>
      <c r="S24" s="7" t="s">
        <v>42</v>
      </c>
      <c r="T24" s="7" t="s">
        <v>43</v>
      </c>
      <c r="U24" s="7" t="s">
        <v>46</v>
      </c>
      <c r="V24" s="5">
        <v>3.7</v>
      </c>
      <c r="W24" s="3">
        <v>40</v>
      </c>
      <c r="Y24" s="4"/>
      <c r="Z24" s="7"/>
      <c r="AA24" s="7"/>
      <c r="AB24" s="7"/>
      <c r="AC24" s="5"/>
      <c r="AD24" s="3">
        <v>40</v>
      </c>
      <c r="AF24" s="4"/>
      <c r="AG24" s="7"/>
      <c r="AH24" s="7"/>
      <c r="AI24" s="7"/>
      <c r="AJ24" s="5"/>
      <c r="AK24" s="3">
        <v>37</v>
      </c>
      <c r="AM24" s="4"/>
      <c r="AN24" s="7"/>
      <c r="AO24" s="7"/>
      <c r="AP24" s="7"/>
      <c r="AQ24" s="5"/>
      <c r="AR24" s="3">
        <v>42</v>
      </c>
      <c r="AT24" s="4"/>
      <c r="AU24" s="7"/>
      <c r="AV24" s="7"/>
      <c r="AW24" s="7"/>
      <c r="AX24" s="5"/>
      <c r="AY24" s="62">
        <v>42</v>
      </c>
    </row>
    <row r="25" spans="1:51" x14ac:dyDescent="0.4">
      <c r="A25" s="12">
        <f t="shared" si="8"/>
        <v>11</v>
      </c>
      <c r="B25" s="167">
        <f t="shared" si="0"/>
        <v>0</v>
      </c>
      <c r="C25" s="1">
        <f t="shared" si="9"/>
        <v>0</v>
      </c>
      <c r="D25" s="41">
        <f>D21</f>
        <v>0</v>
      </c>
      <c r="E25" s="41">
        <f t="shared" si="7"/>
        <v>0</v>
      </c>
      <c r="F25" s="157">
        <f t="shared" si="2"/>
        <v>0</v>
      </c>
      <c r="G25" s="158">
        <f t="shared" si="3"/>
        <v>0</v>
      </c>
      <c r="H25" s="158">
        <f t="shared" si="4"/>
        <v>0</v>
      </c>
      <c r="I25" s="158">
        <f t="shared" si="5"/>
        <v>0</v>
      </c>
      <c r="J25" s="159">
        <f t="shared" si="6"/>
        <v>0</v>
      </c>
      <c r="M25" s="77"/>
      <c r="Q25" s="1"/>
      <c r="R25" s="4">
        <v>3.7</v>
      </c>
      <c r="S25" s="7" t="s">
        <v>42</v>
      </c>
      <c r="T25" s="7" t="s">
        <v>43</v>
      </c>
      <c r="U25" s="7" t="s">
        <v>46</v>
      </c>
      <c r="V25" s="5">
        <v>4.2</v>
      </c>
      <c r="W25" s="3">
        <v>37</v>
      </c>
      <c r="Y25" s="4"/>
      <c r="Z25" s="7"/>
      <c r="AA25" s="7"/>
      <c r="AB25" s="7"/>
      <c r="AC25" s="5"/>
      <c r="AD25" s="3">
        <v>37</v>
      </c>
      <c r="AF25" s="4"/>
      <c r="AG25" s="7"/>
      <c r="AH25" s="7"/>
      <c r="AI25" s="7"/>
      <c r="AJ25" s="5"/>
      <c r="AK25" s="3">
        <v>34</v>
      </c>
      <c r="AM25" s="4"/>
      <c r="AN25" s="7"/>
      <c r="AO25" s="7"/>
      <c r="AP25" s="7"/>
      <c r="AQ25" s="5"/>
      <c r="AR25" s="3">
        <v>38</v>
      </c>
      <c r="AT25" s="4"/>
      <c r="AU25" s="7"/>
      <c r="AV25" s="7"/>
      <c r="AW25" s="7"/>
      <c r="AX25" s="5"/>
      <c r="AY25" s="62">
        <v>38</v>
      </c>
    </row>
    <row r="26" spans="1:51" ht="19.5" thickBot="1" x14ac:dyDescent="0.45">
      <c r="A26" s="12">
        <f t="shared" si="8"/>
        <v>12</v>
      </c>
      <c r="B26" s="167">
        <f t="shared" si="0"/>
        <v>0</v>
      </c>
      <c r="C26" s="1">
        <f t="shared" si="9"/>
        <v>0</v>
      </c>
      <c r="D26" s="41">
        <f>D21</f>
        <v>0</v>
      </c>
      <c r="E26" s="42">
        <f>IF(R26&lt;=ηAH,1,0)</f>
        <v>0</v>
      </c>
      <c r="F26" s="160">
        <f t="shared" si="2"/>
        <v>0</v>
      </c>
      <c r="G26" s="161">
        <f t="shared" si="3"/>
        <v>0</v>
      </c>
      <c r="H26" s="161">
        <f t="shared" si="4"/>
        <v>0</v>
      </c>
      <c r="I26" s="161">
        <f t="shared" si="5"/>
        <v>0</v>
      </c>
      <c r="J26" s="162">
        <f t="shared" si="6"/>
        <v>0</v>
      </c>
      <c r="M26" s="112"/>
      <c r="N26" s="46"/>
      <c r="O26" s="46"/>
      <c r="P26" s="46"/>
      <c r="Q26" s="151"/>
      <c r="R26" s="75">
        <v>4.2</v>
      </c>
      <c r="S26" s="48" t="s">
        <v>42</v>
      </c>
      <c r="T26" s="48" t="s">
        <v>43</v>
      </c>
      <c r="U26" s="48"/>
      <c r="V26" s="67"/>
      <c r="W26" s="65">
        <v>35</v>
      </c>
      <c r="X26" s="46"/>
      <c r="Y26" s="75"/>
      <c r="Z26" s="48"/>
      <c r="AA26" s="48"/>
      <c r="AB26" s="48"/>
      <c r="AC26" s="67"/>
      <c r="AD26" s="65">
        <v>35</v>
      </c>
      <c r="AE26" s="46"/>
      <c r="AF26" s="75"/>
      <c r="AG26" s="48"/>
      <c r="AH26" s="48"/>
      <c r="AI26" s="48"/>
      <c r="AJ26" s="67"/>
      <c r="AK26" s="65">
        <v>32</v>
      </c>
      <c r="AL26" s="46"/>
      <c r="AM26" s="75"/>
      <c r="AN26" s="48"/>
      <c r="AO26" s="48"/>
      <c r="AP26" s="48"/>
      <c r="AQ26" s="67"/>
      <c r="AR26" s="65">
        <v>36</v>
      </c>
      <c r="AS26" s="46"/>
      <c r="AT26" s="75"/>
      <c r="AU26" s="48"/>
      <c r="AV26" s="48"/>
      <c r="AW26" s="48"/>
      <c r="AX26" s="67"/>
      <c r="AY26" s="66">
        <v>36</v>
      </c>
    </row>
    <row r="27" spans="1:51" x14ac:dyDescent="0.4">
      <c r="A27" s="12">
        <f t="shared" si="8"/>
        <v>13</v>
      </c>
      <c r="B27" s="167">
        <f t="shared" si="0"/>
        <v>0</v>
      </c>
      <c r="C27" s="37">
        <f>IF(AND(D27=1,E27=1),1,0)</f>
        <v>0</v>
      </c>
      <c r="D27" s="40">
        <f>IF(AND(M27&lt;UA値z,UA値z&lt;=Q27),1,0)</f>
        <v>0</v>
      </c>
      <c r="E27" s="40">
        <f t="shared" si="7"/>
        <v>1</v>
      </c>
      <c r="F27" s="154">
        <f t="shared" si="2"/>
        <v>54</v>
      </c>
      <c r="G27" s="155">
        <f t="shared" si="3"/>
        <v>54</v>
      </c>
      <c r="H27" s="155">
        <f t="shared" si="4"/>
        <v>46</v>
      </c>
      <c r="I27" s="155">
        <f t="shared" si="5"/>
        <v>55</v>
      </c>
      <c r="J27" s="156">
        <f t="shared" si="6"/>
        <v>54</v>
      </c>
      <c r="M27" s="77">
        <v>0.7</v>
      </c>
      <c r="N27" t="s">
        <v>46</v>
      </c>
      <c r="O27" t="s">
        <v>45</v>
      </c>
      <c r="P27" t="s">
        <v>42</v>
      </c>
      <c r="Q27" s="1">
        <v>0.75</v>
      </c>
      <c r="R27" s="13">
        <v>1.7</v>
      </c>
      <c r="S27" s="2" t="s">
        <v>42</v>
      </c>
      <c r="T27" s="2" t="s">
        <v>43</v>
      </c>
      <c r="U27" s="2" t="s">
        <v>46</v>
      </c>
      <c r="V27" s="43">
        <v>2.2000000000000002</v>
      </c>
      <c r="W27" s="42">
        <v>54</v>
      </c>
      <c r="Y27" s="13"/>
      <c r="Z27" s="2"/>
      <c r="AA27" s="2"/>
      <c r="AB27" s="2"/>
      <c r="AC27" s="43"/>
      <c r="AD27" s="42">
        <v>54</v>
      </c>
      <c r="AF27" s="13"/>
      <c r="AG27" s="2"/>
      <c r="AH27" s="2"/>
      <c r="AI27" s="2"/>
      <c r="AJ27" s="43"/>
      <c r="AK27" s="42">
        <v>46</v>
      </c>
      <c r="AM27" s="13"/>
      <c r="AN27" s="2"/>
      <c r="AO27" s="2"/>
      <c r="AP27" s="2"/>
      <c r="AQ27" s="43"/>
      <c r="AR27" s="42">
        <v>55</v>
      </c>
      <c r="AT27" s="13"/>
      <c r="AU27" s="2"/>
      <c r="AV27" s="2"/>
      <c r="AW27" s="2"/>
      <c r="AX27" s="43"/>
      <c r="AY27" s="74">
        <v>54</v>
      </c>
    </row>
    <row r="28" spans="1:51" x14ac:dyDescent="0.4">
      <c r="A28" s="12">
        <f t="shared" si="8"/>
        <v>14</v>
      </c>
      <c r="B28" s="167">
        <f t="shared" si="0"/>
        <v>0</v>
      </c>
      <c r="C28" s="1">
        <f t="shared" ref="C28:C32" si="10">IF(AND(D28=1,E28=1),1,0)</f>
        <v>0</v>
      </c>
      <c r="D28" s="41">
        <f>D27</f>
        <v>0</v>
      </c>
      <c r="E28" s="41">
        <f t="shared" si="7"/>
        <v>0</v>
      </c>
      <c r="F28" s="157">
        <f t="shared" si="2"/>
        <v>0</v>
      </c>
      <c r="G28" s="158">
        <f t="shared" si="3"/>
        <v>0</v>
      </c>
      <c r="H28" s="158">
        <f t="shared" si="4"/>
        <v>0</v>
      </c>
      <c r="I28" s="158">
        <f t="shared" si="5"/>
        <v>0</v>
      </c>
      <c r="J28" s="159">
        <f t="shared" si="6"/>
        <v>0</v>
      </c>
      <c r="M28" s="77"/>
      <c r="Q28" s="1"/>
      <c r="R28" s="4">
        <v>2.2000000000000002</v>
      </c>
      <c r="S28" s="7" t="s">
        <v>42</v>
      </c>
      <c r="T28" s="7" t="s">
        <v>43</v>
      </c>
      <c r="U28" s="7" t="s">
        <v>46</v>
      </c>
      <c r="V28" s="5">
        <v>2.7</v>
      </c>
      <c r="W28" s="3">
        <v>50</v>
      </c>
      <c r="Y28" s="4"/>
      <c r="Z28" s="7"/>
      <c r="AA28" s="7"/>
      <c r="AB28" s="7"/>
      <c r="AC28" s="5"/>
      <c r="AD28" s="3">
        <v>50</v>
      </c>
      <c r="AF28" s="4"/>
      <c r="AG28" s="7"/>
      <c r="AH28" s="7"/>
      <c r="AI28" s="7"/>
      <c r="AJ28" s="5"/>
      <c r="AK28" s="3">
        <v>43</v>
      </c>
      <c r="AM28" s="4"/>
      <c r="AN28" s="7"/>
      <c r="AO28" s="7"/>
      <c r="AP28" s="7"/>
      <c r="AQ28" s="5"/>
      <c r="AR28" s="3">
        <v>51</v>
      </c>
      <c r="AT28" s="4"/>
      <c r="AU28" s="7"/>
      <c r="AV28" s="7"/>
      <c r="AW28" s="7"/>
      <c r="AX28" s="5"/>
      <c r="AY28" s="62">
        <v>51</v>
      </c>
    </row>
    <row r="29" spans="1:51" x14ac:dyDescent="0.4">
      <c r="A29" s="12">
        <f t="shared" si="8"/>
        <v>15</v>
      </c>
      <c r="B29" s="167">
        <f t="shared" si="0"/>
        <v>0</v>
      </c>
      <c r="C29" s="1">
        <f t="shared" si="10"/>
        <v>0</v>
      </c>
      <c r="D29" s="41">
        <f>D27</f>
        <v>0</v>
      </c>
      <c r="E29" s="41">
        <f t="shared" si="7"/>
        <v>0</v>
      </c>
      <c r="F29" s="157">
        <f t="shared" si="2"/>
        <v>0</v>
      </c>
      <c r="G29" s="158">
        <f t="shared" si="3"/>
        <v>0</v>
      </c>
      <c r="H29" s="158">
        <f t="shared" si="4"/>
        <v>0</v>
      </c>
      <c r="I29" s="158">
        <f t="shared" si="5"/>
        <v>0</v>
      </c>
      <c r="J29" s="159">
        <f t="shared" si="6"/>
        <v>0</v>
      </c>
      <c r="M29" s="77"/>
      <c r="Q29" s="1"/>
      <c r="R29" s="4">
        <v>2.7</v>
      </c>
      <c r="S29" s="7" t="s">
        <v>42</v>
      </c>
      <c r="T29" s="7" t="s">
        <v>43</v>
      </c>
      <c r="U29" s="7" t="s">
        <v>46</v>
      </c>
      <c r="V29" s="5">
        <v>3.2</v>
      </c>
      <c r="W29" s="3">
        <v>47</v>
      </c>
      <c r="Y29" s="4"/>
      <c r="Z29" s="7"/>
      <c r="AA29" s="7"/>
      <c r="AB29" s="7"/>
      <c r="AC29" s="5"/>
      <c r="AD29" s="3">
        <v>47</v>
      </c>
      <c r="AF29" s="4"/>
      <c r="AG29" s="7"/>
      <c r="AH29" s="7"/>
      <c r="AI29" s="7"/>
      <c r="AJ29" s="5"/>
      <c r="AK29" s="3">
        <v>41</v>
      </c>
      <c r="AM29" s="4"/>
      <c r="AN29" s="7"/>
      <c r="AO29" s="7"/>
      <c r="AP29" s="7"/>
      <c r="AQ29" s="5"/>
      <c r="AR29" s="3">
        <v>48</v>
      </c>
      <c r="AT29" s="4"/>
      <c r="AU29" s="7"/>
      <c r="AV29" s="7"/>
      <c r="AW29" s="7"/>
      <c r="AX29" s="5"/>
      <c r="AY29" s="62">
        <v>48</v>
      </c>
    </row>
    <row r="30" spans="1:51" x14ac:dyDescent="0.4">
      <c r="A30" s="12">
        <f t="shared" si="8"/>
        <v>16</v>
      </c>
      <c r="B30" s="167">
        <f t="shared" si="0"/>
        <v>0</v>
      </c>
      <c r="C30" s="1">
        <f t="shared" si="10"/>
        <v>0</v>
      </c>
      <c r="D30" s="41">
        <f>D27</f>
        <v>0</v>
      </c>
      <c r="E30" s="41">
        <f t="shared" si="7"/>
        <v>0</v>
      </c>
      <c r="F30" s="157">
        <f t="shared" si="2"/>
        <v>0</v>
      </c>
      <c r="G30" s="158">
        <f t="shared" si="3"/>
        <v>0</v>
      </c>
      <c r="H30" s="158">
        <f t="shared" si="4"/>
        <v>0</v>
      </c>
      <c r="I30" s="158">
        <f t="shared" si="5"/>
        <v>0</v>
      </c>
      <c r="J30" s="159">
        <f t="shared" si="6"/>
        <v>0</v>
      </c>
      <c r="M30" s="77"/>
      <c r="Q30" s="1"/>
      <c r="R30" s="4">
        <v>3.2</v>
      </c>
      <c r="S30" s="7" t="s">
        <v>42</v>
      </c>
      <c r="T30" s="7" t="s">
        <v>43</v>
      </c>
      <c r="U30" s="7" t="s">
        <v>46</v>
      </c>
      <c r="V30" s="5">
        <v>3.7</v>
      </c>
      <c r="W30" s="3">
        <v>43</v>
      </c>
      <c r="Y30" s="4"/>
      <c r="Z30" s="7"/>
      <c r="AA30" s="7"/>
      <c r="AB30" s="7"/>
      <c r="AC30" s="5"/>
      <c r="AD30" s="3">
        <v>43</v>
      </c>
      <c r="AF30" s="4"/>
      <c r="AG30" s="7"/>
      <c r="AH30" s="7"/>
      <c r="AI30" s="7"/>
      <c r="AJ30" s="5"/>
      <c r="AK30" s="3">
        <v>39</v>
      </c>
      <c r="AM30" s="4"/>
      <c r="AN30" s="7"/>
      <c r="AO30" s="7"/>
      <c r="AP30" s="7"/>
      <c r="AQ30" s="5"/>
      <c r="AR30" s="3">
        <v>45</v>
      </c>
      <c r="AT30" s="4"/>
      <c r="AU30" s="7"/>
      <c r="AV30" s="7"/>
      <c r="AW30" s="7"/>
      <c r="AX30" s="5"/>
      <c r="AY30" s="62">
        <v>45</v>
      </c>
    </row>
    <row r="31" spans="1:51" x14ac:dyDescent="0.4">
      <c r="A31" s="12">
        <f t="shared" si="8"/>
        <v>17</v>
      </c>
      <c r="B31" s="167">
        <f t="shared" si="0"/>
        <v>0</v>
      </c>
      <c r="C31" s="1">
        <f t="shared" si="10"/>
        <v>0</v>
      </c>
      <c r="D31" s="41">
        <f>D27</f>
        <v>0</v>
      </c>
      <c r="E31" s="41">
        <f t="shared" si="7"/>
        <v>0</v>
      </c>
      <c r="F31" s="157">
        <f t="shared" si="2"/>
        <v>0</v>
      </c>
      <c r="G31" s="158">
        <f t="shared" si="3"/>
        <v>0</v>
      </c>
      <c r="H31" s="158">
        <f t="shared" si="4"/>
        <v>0</v>
      </c>
      <c r="I31" s="158">
        <f t="shared" si="5"/>
        <v>0</v>
      </c>
      <c r="J31" s="159">
        <f t="shared" si="6"/>
        <v>0</v>
      </c>
      <c r="M31" s="77"/>
      <c r="Q31" s="1"/>
      <c r="R31" s="4">
        <v>3.7</v>
      </c>
      <c r="S31" s="7" t="s">
        <v>42</v>
      </c>
      <c r="T31" s="7" t="s">
        <v>43</v>
      </c>
      <c r="U31" s="7" t="s">
        <v>46</v>
      </c>
      <c r="V31" s="5">
        <v>4.2</v>
      </c>
      <c r="W31" s="3">
        <v>40</v>
      </c>
      <c r="Y31" s="4"/>
      <c r="Z31" s="7"/>
      <c r="AA31" s="7"/>
      <c r="AB31" s="7"/>
      <c r="AC31" s="5"/>
      <c r="AD31" s="3">
        <v>40</v>
      </c>
      <c r="AF31" s="4"/>
      <c r="AG31" s="7"/>
      <c r="AH31" s="7"/>
      <c r="AI31" s="7"/>
      <c r="AJ31" s="5"/>
      <c r="AK31" s="3">
        <v>36</v>
      </c>
      <c r="AM31" s="4"/>
      <c r="AN31" s="7"/>
      <c r="AO31" s="7"/>
      <c r="AP31" s="7"/>
      <c r="AQ31" s="5"/>
      <c r="AR31" s="3">
        <v>41</v>
      </c>
      <c r="AT31" s="4"/>
      <c r="AU31" s="7"/>
      <c r="AV31" s="7"/>
      <c r="AW31" s="7"/>
      <c r="AX31" s="5"/>
      <c r="AY31" s="62">
        <v>41</v>
      </c>
    </row>
    <row r="32" spans="1:51" ht="19.5" thickBot="1" x14ac:dyDescent="0.45">
      <c r="A32" s="12">
        <f t="shared" si="8"/>
        <v>18</v>
      </c>
      <c r="B32" s="167">
        <f t="shared" si="0"/>
        <v>0</v>
      </c>
      <c r="C32" s="43">
        <f t="shared" si="10"/>
        <v>0</v>
      </c>
      <c r="D32" s="42">
        <f>D27</f>
        <v>0</v>
      </c>
      <c r="E32" s="42">
        <f>IF(R32&lt;=ηAH,1,0)</f>
        <v>0</v>
      </c>
      <c r="F32" s="160">
        <f t="shared" si="2"/>
        <v>0</v>
      </c>
      <c r="G32" s="161">
        <f t="shared" si="3"/>
        <v>0</v>
      </c>
      <c r="H32" s="161">
        <f t="shared" si="4"/>
        <v>0</v>
      </c>
      <c r="I32" s="161">
        <f t="shared" si="5"/>
        <v>0</v>
      </c>
      <c r="J32" s="162">
        <f t="shared" si="6"/>
        <v>0</v>
      </c>
      <c r="M32" s="77"/>
      <c r="Q32" s="1"/>
      <c r="R32" s="38">
        <v>4.2</v>
      </c>
      <c r="S32" s="39" t="s">
        <v>42</v>
      </c>
      <c r="T32" s="39" t="s">
        <v>43</v>
      </c>
      <c r="U32" s="39"/>
      <c r="V32" s="37"/>
      <c r="W32" s="40">
        <v>38</v>
      </c>
      <c r="Y32" s="38"/>
      <c r="Z32" s="39"/>
      <c r="AA32" s="39"/>
      <c r="AB32" s="39"/>
      <c r="AC32" s="37"/>
      <c r="AD32" s="40">
        <v>38</v>
      </c>
      <c r="AF32" s="38"/>
      <c r="AG32" s="39"/>
      <c r="AH32" s="39"/>
      <c r="AI32" s="39"/>
      <c r="AJ32" s="37"/>
      <c r="AK32" s="40">
        <v>34</v>
      </c>
      <c r="AM32" s="38"/>
      <c r="AN32" s="39"/>
      <c r="AO32" s="39"/>
      <c r="AP32" s="39"/>
      <c r="AQ32" s="37"/>
      <c r="AR32" s="40">
        <v>39</v>
      </c>
      <c r="AT32" s="38"/>
      <c r="AU32" s="39"/>
      <c r="AV32" s="39"/>
      <c r="AW32" s="39"/>
      <c r="AX32" s="37"/>
      <c r="AY32" s="73">
        <v>38</v>
      </c>
    </row>
    <row r="33" spans="1:51" x14ac:dyDescent="0.4">
      <c r="A33" s="12">
        <f t="shared" si="8"/>
        <v>19</v>
      </c>
      <c r="B33" s="167">
        <f t="shared" si="0"/>
        <v>0</v>
      </c>
      <c r="C33" s="37">
        <f>IF(AND(D33=1,E33=1),1,0)</f>
        <v>0</v>
      </c>
      <c r="D33" s="41">
        <f>IF(AND(M33&lt;UA値z,UA値z&lt;=Q33),1,0)</f>
        <v>0</v>
      </c>
      <c r="E33" s="41">
        <f t="shared" si="7"/>
        <v>1</v>
      </c>
      <c r="F33" s="157">
        <f t="shared" si="2"/>
        <v>63</v>
      </c>
      <c r="G33" s="158">
        <f t="shared" si="3"/>
        <v>63</v>
      </c>
      <c r="H33" s="158">
        <f t="shared" si="4"/>
        <v>54</v>
      </c>
      <c r="I33" s="158">
        <f t="shared" si="5"/>
        <v>63</v>
      </c>
      <c r="J33" s="159">
        <f t="shared" si="6"/>
        <v>62</v>
      </c>
      <c r="M33" s="149">
        <v>0.75</v>
      </c>
      <c r="N33" s="60" t="s">
        <v>46</v>
      </c>
      <c r="O33" s="60" t="s">
        <v>45</v>
      </c>
      <c r="P33" s="60" t="s">
        <v>42</v>
      </c>
      <c r="Q33" s="150">
        <v>0.92</v>
      </c>
      <c r="R33" s="70">
        <v>1.7</v>
      </c>
      <c r="S33" s="47" t="s">
        <v>42</v>
      </c>
      <c r="T33" s="47" t="s">
        <v>43</v>
      </c>
      <c r="U33" s="47" t="s">
        <v>46</v>
      </c>
      <c r="V33" s="76">
        <v>2.2000000000000002</v>
      </c>
      <c r="W33" s="59">
        <v>63</v>
      </c>
      <c r="X33" s="60"/>
      <c r="Y33" s="70"/>
      <c r="Z33" s="47"/>
      <c r="AA33" s="47"/>
      <c r="AB33" s="47"/>
      <c r="AC33" s="76"/>
      <c r="AD33" s="59">
        <v>63</v>
      </c>
      <c r="AE33" s="60"/>
      <c r="AF33" s="70"/>
      <c r="AG33" s="47"/>
      <c r="AH33" s="47"/>
      <c r="AI33" s="47"/>
      <c r="AJ33" s="76"/>
      <c r="AK33" s="59">
        <v>54</v>
      </c>
      <c r="AL33" s="60"/>
      <c r="AM33" s="70"/>
      <c r="AN33" s="47"/>
      <c r="AO33" s="47"/>
      <c r="AP33" s="47"/>
      <c r="AQ33" s="76"/>
      <c r="AR33" s="59">
        <v>63</v>
      </c>
      <c r="AS33" s="60"/>
      <c r="AT33" s="70"/>
      <c r="AU33" s="47"/>
      <c r="AV33" s="47"/>
      <c r="AW33" s="47"/>
      <c r="AX33" s="76"/>
      <c r="AY33" s="61">
        <v>62</v>
      </c>
    </row>
    <row r="34" spans="1:51" x14ac:dyDescent="0.4">
      <c r="A34" s="12">
        <f t="shared" si="8"/>
        <v>20</v>
      </c>
      <c r="B34" s="167">
        <f t="shared" si="0"/>
        <v>0</v>
      </c>
      <c r="C34" s="1">
        <f t="shared" ref="C34:C38" si="11">IF(AND(D34=1,E34=1),1,0)</f>
        <v>0</v>
      </c>
      <c r="D34" s="41">
        <f>D33</f>
        <v>0</v>
      </c>
      <c r="E34" s="41">
        <f t="shared" si="7"/>
        <v>0</v>
      </c>
      <c r="F34" s="157">
        <f t="shared" si="2"/>
        <v>0</v>
      </c>
      <c r="G34" s="158">
        <f t="shared" si="3"/>
        <v>0</v>
      </c>
      <c r="H34" s="158">
        <f t="shared" si="4"/>
        <v>0</v>
      </c>
      <c r="I34" s="158">
        <f t="shared" si="5"/>
        <v>0</v>
      </c>
      <c r="J34" s="159">
        <f t="shared" si="6"/>
        <v>0</v>
      </c>
      <c r="M34" s="77"/>
      <c r="Q34" s="1"/>
      <c r="R34" s="4">
        <v>2.2000000000000002</v>
      </c>
      <c r="S34" s="7" t="s">
        <v>42</v>
      </c>
      <c r="T34" s="7" t="s">
        <v>43</v>
      </c>
      <c r="U34" s="7" t="s">
        <v>46</v>
      </c>
      <c r="V34" s="5">
        <v>2.7</v>
      </c>
      <c r="W34" s="3">
        <v>60</v>
      </c>
      <c r="Y34" s="4"/>
      <c r="Z34" s="7"/>
      <c r="AA34" s="7"/>
      <c r="AB34" s="7"/>
      <c r="AC34" s="5"/>
      <c r="AD34" s="3">
        <v>60</v>
      </c>
      <c r="AF34" s="4"/>
      <c r="AG34" s="7"/>
      <c r="AH34" s="7"/>
      <c r="AI34" s="7"/>
      <c r="AJ34" s="5"/>
      <c r="AK34" s="3">
        <v>51</v>
      </c>
      <c r="AM34" s="4"/>
      <c r="AN34" s="7"/>
      <c r="AO34" s="7"/>
      <c r="AP34" s="7"/>
      <c r="AQ34" s="5"/>
      <c r="AR34" s="3">
        <v>60</v>
      </c>
      <c r="AT34" s="4"/>
      <c r="AU34" s="7"/>
      <c r="AV34" s="7"/>
      <c r="AW34" s="7"/>
      <c r="AX34" s="5"/>
      <c r="AY34" s="62">
        <v>59</v>
      </c>
    </row>
    <row r="35" spans="1:51" x14ac:dyDescent="0.4">
      <c r="A35" s="12">
        <f t="shared" si="8"/>
        <v>21</v>
      </c>
      <c r="B35" s="167">
        <f t="shared" si="0"/>
        <v>0</v>
      </c>
      <c r="C35" s="1">
        <f t="shared" si="11"/>
        <v>0</v>
      </c>
      <c r="D35" s="41">
        <f>D33</f>
        <v>0</v>
      </c>
      <c r="E35" s="41">
        <f t="shared" si="7"/>
        <v>0</v>
      </c>
      <c r="F35" s="157">
        <f t="shared" si="2"/>
        <v>0</v>
      </c>
      <c r="G35" s="158">
        <f t="shared" si="3"/>
        <v>0</v>
      </c>
      <c r="H35" s="158">
        <f t="shared" si="4"/>
        <v>0</v>
      </c>
      <c r="I35" s="158">
        <f t="shared" si="5"/>
        <v>0</v>
      </c>
      <c r="J35" s="159">
        <f t="shared" si="6"/>
        <v>0</v>
      </c>
      <c r="M35" s="77"/>
      <c r="Q35" s="1"/>
      <c r="R35" s="4">
        <v>2.7</v>
      </c>
      <c r="S35" s="7" t="s">
        <v>42</v>
      </c>
      <c r="T35" s="7" t="s">
        <v>43</v>
      </c>
      <c r="U35" s="7" t="s">
        <v>46</v>
      </c>
      <c r="V35" s="5">
        <v>3.2</v>
      </c>
      <c r="W35" s="3">
        <v>56</v>
      </c>
      <c r="Y35" s="4"/>
      <c r="Z35" s="7"/>
      <c r="AA35" s="7"/>
      <c r="AB35" s="7"/>
      <c r="AC35" s="5"/>
      <c r="AD35" s="3">
        <v>56</v>
      </c>
      <c r="AF35" s="4"/>
      <c r="AG35" s="7"/>
      <c r="AH35" s="7"/>
      <c r="AI35" s="7"/>
      <c r="AJ35" s="5"/>
      <c r="AK35" s="3">
        <v>49</v>
      </c>
      <c r="AM35" s="4"/>
      <c r="AN35" s="7"/>
      <c r="AO35" s="7"/>
      <c r="AP35" s="7"/>
      <c r="AQ35" s="5"/>
      <c r="AR35" s="3">
        <v>56</v>
      </c>
      <c r="AT35" s="4"/>
      <c r="AU35" s="7"/>
      <c r="AV35" s="7"/>
      <c r="AW35" s="7"/>
      <c r="AX35" s="5"/>
      <c r="AY35" s="62">
        <v>56</v>
      </c>
    </row>
    <row r="36" spans="1:51" x14ac:dyDescent="0.4">
      <c r="A36" s="12">
        <f t="shared" si="8"/>
        <v>22</v>
      </c>
      <c r="B36" s="167">
        <f t="shared" si="0"/>
        <v>0</v>
      </c>
      <c r="C36" s="1">
        <f t="shared" si="11"/>
        <v>0</v>
      </c>
      <c r="D36" s="41">
        <f>D33</f>
        <v>0</v>
      </c>
      <c r="E36" s="41">
        <f t="shared" si="7"/>
        <v>0</v>
      </c>
      <c r="F36" s="157">
        <f t="shared" si="2"/>
        <v>0</v>
      </c>
      <c r="G36" s="158">
        <f t="shared" si="3"/>
        <v>0</v>
      </c>
      <c r="H36" s="158">
        <f t="shared" si="4"/>
        <v>0</v>
      </c>
      <c r="I36" s="158">
        <f t="shared" si="5"/>
        <v>0</v>
      </c>
      <c r="J36" s="159">
        <f t="shared" si="6"/>
        <v>0</v>
      </c>
      <c r="M36" s="77"/>
      <c r="Q36" s="1"/>
      <c r="R36" s="4">
        <v>3.2</v>
      </c>
      <c r="S36" s="7" t="s">
        <v>42</v>
      </c>
      <c r="T36" s="7" t="s">
        <v>43</v>
      </c>
      <c r="U36" s="7" t="s">
        <v>46</v>
      </c>
      <c r="V36" s="5">
        <v>3.7</v>
      </c>
      <c r="W36" s="3">
        <v>53</v>
      </c>
      <c r="Y36" s="4"/>
      <c r="Z36" s="7"/>
      <c r="AA36" s="7"/>
      <c r="AB36" s="7"/>
      <c r="AC36" s="5"/>
      <c r="AD36" s="3">
        <v>53</v>
      </c>
      <c r="AF36" s="4"/>
      <c r="AG36" s="7"/>
      <c r="AH36" s="7"/>
      <c r="AI36" s="7"/>
      <c r="AJ36" s="5"/>
      <c r="AK36" s="3">
        <v>47</v>
      </c>
      <c r="AM36" s="4"/>
      <c r="AN36" s="7"/>
      <c r="AO36" s="7"/>
      <c r="AP36" s="7"/>
      <c r="AQ36" s="5"/>
      <c r="AR36" s="3">
        <v>53</v>
      </c>
      <c r="AT36" s="4"/>
      <c r="AU36" s="7"/>
      <c r="AV36" s="7"/>
      <c r="AW36" s="7"/>
      <c r="AX36" s="5"/>
      <c r="AY36" s="62">
        <v>53</v>
      </c>
    </row>
    <row r="37" spans="1:51" x14ac:dyDescent="0.4">
      <c r="A37" s="12">
        <f t="shared" si="8"/>
        <v>23</v>
      </c>
      <c r="B37" s="167">
        <f t="shared" si="0"/>
        <v>0</v>
      </c>
      <c r="C37" s="1">
        <f t="shared" si="11"/>
        <v>0</v>
      </c>
      <c r="D37" s="41">
        <f>D33</f>
        <v>0</v>
      </c>
      <c r="E37" s="41">
        <f t="shared" si="7"/>
        <v>0</v>
      </c>
      <c r="F37" s="157">
        <f t="shared" si="2"/>
        <v>0</v>
      </c>
      <c r="G37" s="158">
        <f t="shared" si="3"/>
        <v>0</v>
      </c>
      <c r="H37" s="158">
        <f t="shared" si="4"/>
        <v>0</v>
      </c>
      <c r="I37" s="158">
        <f t="shared" si="5"/>
        <v>0</v>
      </c>
      <c r="J37" s="159">
        <f t="shared" si="6"/>
        <v>0</v>
      </c>
      <c r="M37" s="77"/>
      <c r="Q37" s="1"/>
      <c r="R37" s="4">
        <v>3.7</v>
      </c>
      <c r="S37" s="7" t="s">
        <v>42</v>
      </c>
      <c r="T37" s="7" t="s">
        <v>43</v>
      </c>
      <c r="U37" s="7" t="s">
        <v>46</v>
      </c>
      <c r="V37" s="5">
        <v>4.2</v>
      </c>
      <c r="W37" s="3">
        <v>49</v>
      </c>
      <c r="Y37" s="4"/>
      <c r="Z37" s="7"/>
      <c r="AA37" s="7"/>
      <c r="AB37" s="7"/>
      <c r="AC37" s="5"/>
      <c r="AD37" s="3">
        <v>49</v>
      </c>
      <c r="AF37" s="4"/>
      <c r="AG37" s="7"/>
      <c r="AH37" s="7"/>
      <c r="AI37" s="7"/>
      <c r="AJ37" s="5"/>
      <c r="AK37" s="3">
        <v>45</v>
      </c>
      <c r="AM37" s="4"/>
      <c r="AN37" s="7"/>
      <c r="AO37" s="7"/>
      <c r="AP37" s="7"/>
      <c r="AQ37" s="5"/>
      <c r="AR37" s="3">
        <v>50</v>
      </c>
      <c r="AT37" s="4"/>
      <c r="AU37" s="7"/>
      <c r="AV37" s="7"/>
      <c r="AW37" s="7"/>
      <c r="AX37" s="5"/>
      <c r="AY37" s="62">
        <v>50</v>
      </c>
    </row>
    <row r="38" spans="1:51" ht="19.5" thickBot="1" x14ac:dyDescent="0.45">
      <c r="A38" s="12">
        <f t="shared" si="8"/>
        <v>24</v>
      </c>
      <c r="B38" s="167">
        <f t="shared" si="0"/>
        <v>0</v>
      </c>
      <c r="C38" s="1">
        <f t="shared" si="11"/>
        <v>0</v>
      </c>
      <c r="D38" s="41">
        <f>D33</f>
        <v>0</v>
      </c>
      <c r="E38" s="41">
        <f>IF(R38&lt;=ηAH,1,0)</f>
        <v>0</v>
      </c>
      <c r="F38" s="157">
        <f t="shared" si="2"/>
        <v>0</v>
      </c>
      <c r="G38" s="158">
        <f t="shared" si="3"/>
        <v>0</v>
      </c>
      <c r="H38" s="158">
        <f t="shared" si="4"/>
        <v>0</v>
      </c>
      <c r="I38" s="158">
        <f t="shared" si="5"/>
        <v>0</v>
      </c>
      <c r="J38" s="159">
        <f t="shared" si="6"/>
        <v>0</v>
      </c>
      <c r="M38" s="112"/>
      <c r="N38" s="46"/>
      <c r="O38" s="46"/>
      <c r="P38" s="46"/>
      <c r="Q38" s="151"/>
      <c r="R38" s="75">
        <v>4.2</v>
      </c>
      <c r="S38" s="48" t="s">
        <v>42</v>
      </c>
      <c r="T38" s="48" t="s">
        <v>43</v>
      </c>
      <c r="U38" s="48"/>
      <c r="V38" s="67"/>
      <c r="W38" s="65">
        <v>47</v>
      </c>
      <c r="X38" s="46"/>
      <c r="Y38" s="75"/>
      <c r="Z38" s="48"/>
      <c r="AA38" s="48"/>
      <c r="AB38" s="48"/>
      <c r="AC38" s="67"/>
      <c r="AD38" s="65">
        <v>47</v>
      </c>
      <c r="AE38" s="46"/>
      <c r="AF38" s="75"/>
      <c r="AG38" s="48"/>
      <c r="AH38" s="48"/>
      <c r="AI38" s="48"/>
      <c r="AJ38" s="67"/>
      <c r="AK38" s="65">
        <v>42</v>
      </c>
      <c r="AL38" s="46"/>
      <c r="AM38" s="75"/>
      <c r="AN38" s="48"/>
      <c r="AO38" s="48"/>
      <c r="AP38" s="48"/>
      <c r="AQ38" s="67"/>
      <c r="AR38" s="65">
        <v>47</v>
      </c>
      <c r="AS38" s="46"/>
      <c r="AT38" s="75"/>
      <c r="AU38" s="48"/>
      <c r="AV38" s="48"/>
      <c r="AW38" s="48"/>
      <c r="AX38" s="67"/>
      <c r="AY38" s="66">
        <v>47</v>
      </c>
    </row>
    <row r="39" spans="1:51" x14ac:dyDescent="0.4">
      <c r="A39" s="12">
        <f t="shared" si="8"/>
        <v>25</v>
      </c>
      <c r="B39" s="167">
        <f t="shared" si="0"/>
        <v>0</v>
      </c>
      <c r="C39" s="37">
        <f>IF(AND(D39=1,E39=1),1,0)</f>
        <v>0</v>
      </c>
      <c r="D39" s="40">
        <f>IF(AND(M39&lt;UA値z,UA値z&lt;=Q39),1,0)</f>
        <v>0</v>
      </c>
      <c r="E39" s="40">
        <f t="shared" si="7"/>
        <v>1</v>
      </c>
      <c r="F39" s="154">
        <f t="shared" si="2"/>
        <v>73</v>
      </c>
      <c r="G39" s="155">
        <f t="shared" si="3"/>
        <v>73</v>
      </c>
      <c r="H39" s="155">
        <f t="shared" si="4"/>
        <v>64</v>
      </c>
      <c r="I39" s="155">
        <f t="shared" si="5"/>
        <v>71</v>
      </c>
      <c r="J39" s="156">
        <f t="shared" si="6"/>
        <v>70</v>
      </c>
      <c r="M39" s="77">
        <v>0.92</v>
      </c>
      <c r="N39" t="s">
        <v>46</v>
      </c>
      <c r="O39" t="s">
        <v>45</v>
      </c>
      <c r="P39" t="s">
        <v>42</v>
      </c>
      <c r="Q39" s="1">
        <v>1.0900000000000001</v>
      </c>
      <c r="R39" s="13">
        <v>1.7</v>
      </c>
      <c r="S39" s="2" t="s">
        <v>42</v>
      </c>
      <c r="T39" s="2" t="s">
        <v>43</v>
      </c>
      <c r="U39" s="2" t="s">
        <v>46</v>
      </c>
      <c r="V39" s="43">
        <v>2.2000000000000002</v>
      </c>
      <c r="W39" s="42">
        <v>73</v>
      </c>
      <c r="Y39" s="13"/>
      <c r="Z39" s="2"/>
      <c r="AA39" s="2"/>
      <c r="AB39" s="2"/>
      <c r="AC39" s="43"/>
      <c r="AD39" s="42">
        <v>73</v>
      </c>
      <c r="AF39" s="13"/>
      <c r="AG39" s="2"/>
      <c r="AH39" s="2"/>
      <c r="AI39" s="2"/>
      <c r="AJ39" s="43"/>
      <c r="AK39" s="42">
        <v>64</v>
      </c>
      <c r="AM39" s="13"/>
      <c r="AN39" s="2"/>
      <c r="AO39" s="2"/>
      <c r="AP39" s="2"/>
      <c r="AQ39" s="43"/>
      <c r="AR39" s="42">
        <v>71</v>
      </c>
      <c r="AT39" s="13"/>
      <c r="AU39" s="2"/>
      <c r="AV39" s="2"/>
      <c r="AW39" s="2"/>
      <c r="AX39" s="43"/>
      <c r="AY39" s="74">
        <v>70</v>
      </c>
    </row>
    <row r="40" spans="1:51" x14ac:dyDescent="0.4">
      <c r="A40" s="12">
        <f t="shared" si="8"/>
        <v>26</v>
      </c>
      <c r="B40" s="167">
        <f t="shared" si="0"/>
        <v>0</v>
      </c>
      <c r="C40" s="1">
        <f t="shared" ref="C40:C44" si="12">IF(AND(D40=1,E40=1),1,0)</f>
        <v>0</v>
      </c>
      <c r="D40" s="41">
        <f>D39</f>
        <v>0</v>
      </c>
      <c r="E40" s="41">
        <f t="shared" si="7"/>
        <v>0</v>
      </c>
      <c r="F40" s="157">
        <f t="shared" si="2"/>
        <v>0</v>
      </c>
      <c r="G40" s="158">
        <f t="shared" si="3"/>
        <v>0</v>
      </c>
      <c r="H40" s="158">
        <f t="shared" si="4"/>
        <v>0</v>
      </c>
      <c r="I40" s="158">
        <f t="shared" si="5"/>
        <v>0</v>
      </c>
      <c r="J40" s="159">
        <f t="shared" si="6"/>
        <v>0</v>
      </c>
      <c r="M40" s="77"/>
      <c r="Q40" s="1"/>
      <c r="R40" s="4">
        <v>2.2000000000000002</v>
      </c>
      <c r="S40" s="7" t="s">
        <v>42</v>
      </c>
      <c r="T40" s="7" t="s">
        <v>43</v>
      </c>
      <c r="U40" s="7" t="s">
        <v>46</v>
      </c>
      <c r="V40" s="5">
        <v>2.7</v>
      </c>
      <c r="W40" s="3">
        <v>70</v>
      </c>
      <c r="Y40" s="4"/>
      <c r="Z40" s="7"/>
      <c r="AA40" s="7"/>
      <c r="AB40" s="7"/>
      <c r="AC40" s="5"/>
      <c r="AD40" s="3">
        <v>70</v>
      </c>
      <c r="AF40" s="4"/>
      <c r="AG40" s="7"/>
      <c r="AH40" s="7"/>
      <c r="AI40" s="7"/>
      <c r="AJ40" s="5"/>
      <c r="AK40" s="3">
        <v>61</v>
      </c>
      <c r="AM40" s="4"/>
      <c r="AN40" s="7"/>
      <c r="AO40" s="7"/>
      <c r="AP40" s="7"/>
      <c r="AQ40" s="5"/>
      <c r="AR40" s="3">
        <v>68</v>
      </c>
      <c r="AT40" s="4"/>
      <c r="AU40" s="7"/>
      <c r="AV40" s="7"/>
      <c r="AW40" s="7"/>
      <c r="AX40" s="5"/>
      <c r="AY40" s="62">
        <v>67</v>
      </c>
    </row>
    <row r="41" spans="1:51" x14ac:dyDescent="0.4">
      <c r="A41" s="12">
        <f t="shared" si="8"/>
        <v>27</v>
      </c>
      <c r="B41" s="167">
        <f t="shared" si="0"/>
        <v>0</v>
      </c>
      <c r="C41" s="1">
        <f t="shared" si="12"/>
        <v>0</v>
      </c>
      <c r="D41" s="41">
        <f>D39</f>
        <v>0</v>
      </c>
      <c r="E41" s="41">
        <f t="shared" si="7"/>
        <v>0</v>
      </c>
      <c r="F41" s="157">
        <f t="shared" si="2"/>
        <v>0</v>
      </c>
      <c r="G41" s="158">
        <f t="shared" si="3"/>
        <v>0</v>
      </c>
      <c r="H41" s="158">
        <f t="shared" si="4"/>
        <v>0</v>
      </c>
      <c r="I41" s="158">
        <f t="shared" si="5"/>
        <v>0</v>
      </c>
      <c r="J41" s="159">
        <f t="shared" si="6"/>
        <v>0</v>
      </c>
      <c r="M41" s="77"/>
      <c r="Q41" s="1"/>
      <c r="R41" s="4">
        <v>2.7</v>
      </c>
      <c r="S41" s="7" t="s">
        <v>42</v>
      </c>
      <c r="T41" s="7" t="s">
        <v>43</v>
      </c>
      <c r="U41" s="7" t="s">
        <v>46</v>
      </c>
      <c r="V41" s="5">
        <v>3.2</v>
      </c>
      <c r="W41" s="3">
        <v>66</v>
      </c>
      <c r="Y41" s="4"/>
      <c r="Z41" s="7"/>
      <c r="AA41" s="7"/>
      <c r="AB41" s="7"/>
      <c r="AC41" s="5"/>
      <c r="AD41" s="3">
        <v>66</v>
      </c>
      <c r="AF41" s="4"/>
      <c r="AG41" s="7"/>
      <c r="AH41" s="7"/>
      <c r="AI41" s="7"/>
      <c r="AJ41" s="5"/>
      <c r="AK41" s="3">
        <v>58</v>
      </c>
      <c r="AM41" s="4"/>
      <c r="AN41" s="7"/>
      <c r="AO41" s="7"/>
      <c r="AP41" s="7"/>
      <c r="AQ41" s="5"/>
      <c r="AR41" s="3">
        <v>65</v>
      </c>
      <c r="AT41" s="4"/>
      <c r="AU41" s="7"/>
      <c r="AV41" s="7"/>
      <c r="AW41" s="7"/>
      <c r="AX41" s="5"/>
      <c r="AY41" s="62">
        <v>64</v>
      </c>
    </row>
    <row r="42" spans="1:51" x14ac:dyDescent="0.4">
      <c r="A42" s="12">
        <f t="shared" si="8"/>
        <v>28</v>
      </c>
      <c r="B42" s="167">
        <f t="shared" si="0"/>
        <v>0</v>
      </c>
      <c r="C42" s="1">
        <f t="shared" si="12"/>
        <v>0</v>
      </c>
      <c r="D42" s="41">
        <f>D39</f>
        <v>0</v>
      </c>
      <c r="E42" s="41">
        <f t="shared" si="7"/>
        <v>0</v>
      </c>
      <c r="F42" s="157">
        <f t="shared" si="2"/>
        <v>0</v>
      </c>
      <c r="G42" s="158">
        <f t="shared" si="3"/>
        <v>0</v>
      </c>
      <c r="H42" s="158">
        <f t="shared" si="4"/>
        <v>0</v>
      </c>
      <c r="I42" s="158">
        <f t="shared" si="5"/>
        <v>0</v>
      </c>
      <c r="J42" s="159">
        <f t="shared" si="6"/>
        <v>0</v>
      </c>
      <c r="M42" s="77"/>
      <c r="Q42" s="1"/>
      <c r="R42" s="4">
        <v>3.2</v>
      </c>
      <c r="S42" s="7" t="s">
        <v>42</v>
      </c>
      <c r="T42" s="7" t="s">
        <v>43</v>
      </c>
      <c r="U42" s="7" t="s">
        <v>46</v>
      </c>
      <c r="V42" s="5">
        <v>3.7</v>
      </c>
      <c r="W42" s="3">
        <v>63</v>
      </c>
      <c r="Y42" s="4"/>
      <c r="Z42" s="7"/>
      <c r="AA42" s="7"/>
      <c r="AB42" s="7"/>
      <c r="AC42" s="5"/>
      <c r="AD42" s="3">
        <v>63</v>
      </c>
      <c r="AF42" s="4"/>
      <c r="AG42" s="7"/>
      <c r="AH42" s="7"/>
      <c r="AI42" s="7"/>
      <c r="AJ42" s="5"/>
      <c r="AK42" s="3">
        <v>55</v>
      </c>
      <c r="AM42" s="4"/>
      <c r="AN42" s="7"/>
      <c r="AO42" s="7"/>
      <c r="AP42" s="7"/>
      <c r="AQ42" s="5"/>
      <c r="AR42" s="3">
        <v>61</v>
      </c>
      <c r="AT42" s="4"/>
      <c r="AU42" s="7"/>
      <c r="AV42" s="7"/>
      <c r="AW42" s="7"/>
      <c r="AX42" s="5"/>
      <c r="AY42" s="62">
        <v>61</v>
      </c>
    </row>
    <row r="43" spans="1:51" x14ac:dyDescent="0.4">
      <c r="A43" s="12">
        <f t="shared" si="8"/>
        <v>29</v>
      </c>
      <c r="B43" s="167">
        <f t="shared" si="0"/>
        <v>0</v>
      </c>
      <c r="C43" s="1">
        <f t="shared" si="12"/>
        <v>0</v>
      </c>
      <c r="D43" s="41">
        <f>D39</f>
        <v>0</v>
      </c>
      <c r="E43" s="41">
        <f t="shared" si="7"/>
        <v>0</v>
      </c>
      <c r="F43" s="157">
        <f t="shared" si="2"/>
        <v>0</v>
      </c>
      <c r="G43" s="158">
        <f t="shared" si="3"/>
        <v>0</v>
      </c>
      <c r="H43" s="158">
        <f t="shared" si="4"/>
        <v>0</v>
      </c>
      <c r="I43" s="158">
        <f t="shared" si="5"/>
        <v>0</v>
      </c>
      <c r="J43" s="159">
        <f t="shared" si="6"/>
        <v>0</v>
      </c>
      <c r="M43" s="77"/>
      <c r="Q43" s="1"/>
      <c r="R43" s="4">
        <v>3.7</v>
      </c>
      <c r="S43" s="7" t="s">
        <v>42</v>
      </c>
      <c r="T43" s="7" t="s">
        <v>43</v>
      </c>
      <c r="U43" s="7" t="s">
        <v>46</v>
      </c>
      <c r="V43" s="5">
        <v>4.2</v>
      </c>
      <c r="W43" s="3">
        <v>59</v>
      </c>
      <c r="Y43" s="4"/>
      <c r="Z43" s="7"/>
      <c r="AA43" s="7"/>
      <c r="AB43" s="7"/>
      <c r="AC43" s="5"/>
      <c r="AD43" s="3">
        <v>59</v>
      </c>
      <c r="AF43" s="4"/>
      <c r="AG43" s="7"/>
      <c r="AH43" s="7"/>
      <c r="AI43" s="7"/>
      <c r="AJ43" s="5"/>
      <c r="AK43" s="3">
        <v>53</v>
      </c>
      <c r="AM43" s="4"/>
      <c r="AN43" s="7"/>
      <c r="AO43" s="7"/>
      <c r="AP43" s="7"/>
      <c r="AQ43" s="5"/>
      <c r="AR43" s="3">
        <v>58</v>
      </c>
      <c r="AT43" s="4"/>
      <c r="AU43" s="7"/>
      <c r="AV43" s="7"/>
      <c r="AW43" s="7"/>
      <c r="AX43" s="5"/>
      <c r="AY43" s="62">
        <v>58</v>
      </c>
    </row>
    <row r="44" spans="1:51" ht="19.5" thickBot="1" x14ac:dyDescent="0.45">
      <c r="A44" s="12">
        <f t="shared" si="8"/>
        <v>30</v>
      </c>
      <c r="B44" s="167">
        <f t="shared" si="0"/>
        <v>0</v>
      </c>
      <c r="C44" s="43">
        <f t="shared" si="12"/>
        <v>0</v>
      </c>
      <c r="D44" s="42">
        <f>D39</f>
        <v>0</v>
      </c>
      <c r="E44" s="42">
        <f>IF(R44&lt;=ηAH,1,0)</f>
        <v>0</v>
      </c>
      <c r="F44" s="160">
        <f t="shared" si="2"/>
        <v>0</v>
      </c>
      <c r="G44" s="161">
        <f t="shared" si="3"/>
        <v>0</v>
      </c>
      <c r="H44" s="161">
        <f t="shared" si="4"/>
        <v>0</v>
      </c>
      <c r="I44" s="161">
        <f t="shared" si="5"/>
        <v>0</v>
      </c>
      <c r="J44" s="162">
        <f t="shared" si="6"/>
        <v>0</v>
      </c>
      <c r="M44" s="77"/>
      <c r="Q44" s="1"/>
      <c r="R44" s="38">
        <v>4.2</v>
      </c>
      <c r="S44" s="39" t="s">
        <v>42</v>
      </c>
      <c r="T44" s="39" t="s">
        <v>43</v>
      </c>
      <c r="U44" s="39"/>
      <c r="V44" s="37"/>
      <c r="W44" s="40">
        <v>56</v>
      </c>
      <c r="Y44" s="38"/>
      <c r="Z44" s="39"/>
      <c r="AA44" s="39"/>
      <c r="AB44" s="39"/>
      <c r="AC44" s="37"/>
      <c r="AD44" s="40">
        <v>56</v>
      </c>
      <c r="AF44" s="38"/>
      <c r="AG44" s="39"/>
      <c r="AH44" s="39"/>
      <c r="AI44" s="39"/>
      <c r="AJ44" s="37"/>
      <c r="AK44" s="40">
        <v>50</v>
      </c>
      <c r="AM44" s="38"/>
      <c r="AN44" s="39"/>
      <c r="AO44" s="39"/>
      <c r="AP44" s="39"/>
      <c r="AQ44" s="37"/>
      <c r="AR44" s="40">
        <v>55</v>
      </c>
      <c r="AT44" s="38"/>
      <c r="AU44" s="39"/>
      <c r="AV44" s="39"/>
      <c r="AW44" s="39"/>
      <c r="AX44" s="37"/>
      <c r="AY44" s="73">
        <v>54</v>
      </c>
    </row>
    <row r="45" spans="1:51" x14ac:dyDescent="0.4">
      <c r="A45" s="12">
        <f t="shared" si="8"/>
        <v>31</v>
      </c>
      <c r="B45" s="167">
        <f t="shared" si="0"/>
        <v>0</v>
      </c>
      <c r="C45" s="37">
        <f>IF(AND(D45=1,E45=1),1,0)</f>
        <v>0</v>
      </c>
      <c r="D45" s="41">
        <f>IF(AND(M45&lt;UA値z,UA値z&lt;=Q45),1,0)</f>
        <v>0</v>
      </c>
      <c r="E45" s="41">
        <f t="shared" si="7"/>
        <v>1</v>
      </c>
      <c r="F45" s="157">
        <f t="shared" si="2"/>
        <v>84</v>
      </c>
      <c r="G45" s="158">
        <f t="shared" si="3"/>
        <v>84</v>
      </c>
      <c r="H45" s="158">
        <f t="shared" si="4"/>
        <v>75</v>
      </c>
      <c r="I45" s="158">
        <f t="shared" si="5"/>
        <v>79</v>
      </c>
      <c r="J45" s="159">
        <f t="shared" si="6"/>
        <v>79</v>
      </c>
      <c r="M45" s="149">
        <v>1.0900000000000001</v>
      </c>
      <c r="N45" s="60" t="s">
        <v>46</v>
      </c>
      <c r="O45" s="60" t="s">
        <v>45</v>
      </c>
      <c r="P45" s="60" t="s">
        <v>42</v>
      </c>
      <c r="Q45" s="150">
        <v>1.25</v>
      </c>
      <c r="R45" s="70">
        <v>1.7</v>
      </c>
      <c r="S45" s="47" t="s">
        <v>42</v>
      </c>
      <c r="T45" s="47" t="s">
        <v>43</v>
      </c>
      <c r="U45" s="47" t="s">
        <v>46</v>
      </c>
      <c r="V45" s="76">
        <v>2.2000000000000002</v>
      </c>
      <c r="W45" s="59">
        <v>84</v>
      </c>
      <c r="X45" s="60"/>
      <c r="Y45" s="70"/>
      <c r="Z45" s="47"/>
      <c r="AA45" s="47"/>
      <c r="AB45" s="47"/>
      <c r="AC45" s="76"/>
      <c r="AD45" s="59">
        <v>84</v>
      </c>
      <c r="AE45" s="60"/>
      <c r="AF45" s="70"/>
      <c r="AG45" s="47"/>
      <c r="AH45" s="47"/>
      <c r="AI45" s="47"/>
      <c r="AJ45" s="76"/>
      <c r="AK45" s="59">
        <v>75</v>
      </c>
      <c r="AL45" s="60"/>
      <c r="AM45" s="70"/>
      <c r="AN45" s="47"/>
      <c r="AO45" s="47"/>
      <c r="AP45" s="47"/>
      <c r="AQ45" s="76"/>
      <c r="AR45" s="59">
        <v>79</v>
      </c>
      <c r="AS45" s="60"/>
      <c r="AT45" s="70"/>
      <c r="AU45" s="47"/>
      <c r="AV45" s="47"/>
      <c r="AW45" s="47"/>
      <c r="AX45" s="76"/>
      <c r="AY45" s="61">
        <v>79</v>
      </c>
    </row>
    <row r="46" spans="1:51" x14ac:dyDescent="0.4">
      <c r="A46" s="12">
        <f t="shared" si="8"/>
        <v>32</v>
      </c>
      <c r="B46" s="167">
        <f t="shared" si="0"/>
        <v>0</v>
      </c>
      <c r="C46" s="1">
        <f t="shared" ref="C46:C50" si="13">IF(AND(D46=1,E46=1),1,0)</f>
        <v>0</v>
      </c>
      <c r="D46" s="41">
        <f>D45</f>
        <v>0</v>
      </c>
      <c r="E46" s="41">
        <f t="shared" si="7"/>
        <v>0</v>
      </c>
      <c r="F46" s="157">
        <f t="shared" si="2"/>
        <v>0</v>
      </c>
      <c r="G46" s="158">
        <f t="shared" si="3"/>
        <v>0</v>
      </c>
      <c r="H46" s="158">
        <f t="shared" si="4"/>
        <v>0</v>
      </c>
      <c r="I46" s="158">
        <f t="shared" si="5"/>
        <v>0</v>
      </c>
      <c r="J46" s="159">
        <f t="shared" si="6"/>
        <v>0</v>
      </c>
      <c r="M46" s="77"/>
      <c r="Q46" s="1"/>
      <c r="R46" s="4">
        <v>2.2000000000000002</v>
      </c>
      <c r="S46" s="7" t="s">
        <v>42</v>
      </c>
      <c r="T46" s="7" t="s">
        <v>43</v>
      </c>
      <c r="U46" s="7" t="s">
        <v>46</v>
      </c>
      <c r="V46" s="5">
        <v>2.7</v>
      </c>
      <c r="W46" s="3">
        <v>80</v>
      </c>
      <c r="Y46" s="4"/>
      <c r="Z46" s="7"/>
      <c r="AA46" s="7"/>
      <c r="AB46" s="7"/>
      <c r="AC46" s="5"/>
      <c r="AD46" s="3">
        <v>80</v>
      </c>
      <c r="AF46" s="4"/>
      <c r="AG46" s="7"/>
      <c r="AH46" s="7"/>
      <c r="AI46" s="7"/>
      <c r="AJ46" s="5"/>
      <c r="AK46" s="3">
        <v>72</v>
      </c>
      <c r="AM46" s="4"/>
      <c r="AN46" s="7"/>
      <c r="AO46" s="7"/>
      <c r="AP46" s="7"/>
      <c r="AQ46" s="5"/>
      <c r="AR46" s="3">
        <v>76</v>
      </c>
      <c r="AT46" s="4"/>
      <c r="AU46" s="7"/>
      <c r="AV46" s="7"/>
      <c r="AW46" s="7"/>
      <c r="AX46" s="5"/>
      <c r="AY46" s="62">
        <v>76</v>
      </c>
    </row>
    <row r="47" spans="1:51" x14ac:dyDescent="0.4">
      <c r="A47" s="12">
        <f t="shared" si="8"/>
        <v>33</v>
      </c>
      <c r="B47" s="167">
        <f t="shared" si="0"/>
        <v>0</v>
      </c>
      <c r="C47" s="1">
        <f t="shared" si="13"/>
        <v>0</v>
      </c>
      <c r="D47" s="41">
        <f>D45</f>
        <v>0</v>
      </c>
      <c r="E47" s="41">
        <f t="shared" si="7"/>
        <v>0</v>
      </c>
      <c r="F47" s="157">
        <f t="shared" si="2"/>
        <v>0</v>
      </c>
      <c r="G47" s="158">
        <f t="shared" si="3"/>
        <v>0</v>
      </c>
      <c r="H47" s="158">
        <f t="shared" si="4"/>
        <v>0</v>
      </c>
      <c r="I47" s="158">
        <f t="shared" si="5"/>
        <v>0</v>
      </c>
      <c r="J47" s="159">
        <f t="shared" si="6"/>
        <v>0</v>
      </c>
      <c r="M47" s="77"/>
      <c r="Q47" s="1"/>
      <c r="R47" s="4">
        <v>2.7</v>
      </c>
      <c r="S47" s="7" t="s">
        <v>42</v>
      </c>
      <c r="T47" s="7" t="s">
        <v>43</v>
      </c>
      <c r="U47" s="7" t="s">
        <v>46</v>
      </c>
      <c r="V47" s="5">
        <v>3.2</v>
      </c>
      <c r="W47" s="3">
        <v>77</v>
      </c>
      <c r="Y47" s="4"/>
      <c r="Z47" s="7"/>
      <c r="AA47" s="7"/>
      <c r="AB47" s="7"/>
      <c r="AC47" s="5"/>
      <c r="AD47" s="3">
        <v>77</v>
      </c>
      <c r="AF47" s="4"/>
      <c r="AG47" s="7"/>
      <c r="AH47" s="7"/>
      <c r="AI47" s="7"/>
      <c r="AJ47" s="5"/>
      <c r="AK47" s="3">
        <v>69</v>
      </c>
      <c r="AM47" s="4"/>
      <c r="AN47" s="7"/>
      <c r="AO47" s="7"/>
      <c r="AP47" s="7"/>
      <c r="AQ47" s="5"/>
      <c r="AR47" s="3">
        <v>73</v>
      </c>
      <c r="AT47" s="4"/>
      <c r="AU47" s="7"/>
      <c r="AV47" s="7"/>
      <c r="AW47" s="7"/>
      <c r="AX47" s="5"/>
      <c r="AY47" s="62">
        <v>73</v>
      </c>
    </row>
    <row r="48" spans="1:51" x14ac:dyDescent="0.4">
      <c r="A48" s="12">
        <f t="shared" si="8"/>
        <v>34</v>
      </c>
      <c r="B48" s="167">
        <f t="shared" si="0"/>
        <v>0</v>
      </c>
      <c r="C48" s="1">
        <f t="shared" si="13"/>
        <v>0</v>
      </c>
      <c r="D48" s="41">
        <f>D45</f>
        <v>0</v>
      </c>
      <c r="E48" s="41">
        <f t="shared" si="7"/>
        <v>0</v>
      </c>
      <c r="F48" s="157">
        <f t="shared" si="2"/>
        <v>0</v>
      </c>
      <c r="G48" s="158">
        <f t="shared" si="3"/>
        <v>0</v>
      </c>
      <c r="H48" s="158">
        <f t="shared" si="4"/>
        <v>0</v>
      </c>
      <c r="I48" s="158">
        <f t="shared" si="5"/>
        <v>0</v>
      </c>
      <c r="J48" s="159">
        <f t="shared" si="6"/>
        <v>0</v>
      </c>
      <c r="M48" s="77"/>
      <c r="Q48" s="1"/>
      <c r="R48" s="4">
        <v>3.2</v>
      </c>
      <c r="S48" s="7" t="s">
        <v>42</v>
      </c>
      <c r="T48" s="7" t="s">
        <v>43</v>
      </c>
      <c r="U48" s="7" t="s">
        <v>46</v>
      </c>
      <c r="V48" s="5">
        <v>3.7</v>
      </c>
      <c r="W48" s="3">
        <v>73</v>
      </c>
      <c r="Y48" s="4"/>
      <c r="Z48" s="7"/>
      <c r="AA48" s="7"/>
      <c r="AB48" s="7"/>
      <c r="AC48" s="5"/>
      <c r="AD48" s="3">
        <v>73</v>
      </c>
      <c r="AF48" s="4"/>
      <c r="AG48" s="7"/>
      <c r="AH48" s="7"/>
      <c r="AI48" s="7"/>
      <c r="AJ48" s="5"/>
      <c r="AK48" s="3">
        <v>66</v>
      </c>
      <c r="AM48" s="4"/>
      <c r="AN48" s="7"/>
      <c r="AO48" s="7"/>
      <c r="AP48" s="7"/>
      <c r="AQ48" s="5"/>
      <c r="AR48" s="3">
        <v>70</v>
      </c>
      <c r="AT48" s="4"/>
      <c r="AU48" s="7"/>
      <c r="AV48" s="7"/>
      <c r="AW48" s="7"/>
      <c r="AX48" s="5"/>
      <c r="AY48" s="62">
        <v>69</v>
      </c>
    </row>
    <row r="49" spans="1:51" x14ac:dyDescent="0.4">
      <c r="A49" s="12">
        <f t="shared" si="8"/>
        <v>35</v>
      </c>
      <c r="B49" s="167">
        <f t="shared" si="0"/>
        <v>0</v>
      </c>
      <c r="C49" s="1">
        <f t="shared" si="13"/>
        <v>0</v>
      </c>
      <c r="D49" s="41">
        <f>D45</f>
        <v>0</v>
      </c>
      <c r="E49" s="41">
        <f t="shared" si="7"/>
        <v>0</v>
      </c>
      <c r="F49" s="157">
        <f t="shared" si="2"/>
        <v>0</v>
      </c>
      <c r="G49" s="158">
        <f t="shared" si="3"/>
        <v>0</v>
      </c>
      <c r="H49" s="158">
        <f t="shared" si="4"/>
        <v>0</v>
      </c>
      <c r="I49" s="158">
        <f t="shared" si="5"/>
        <v>0</v>
      </c>
      <c r="J49" s="159">
        <f t="shared" si="6"/>
        <v>0</v>
      </c>
      <c r="M49" s="77"/>
      <c r="Q49" s="1"/>
      <c r="R49" s="4">
        <v>3.7</v>
      </c>
      <c r="S49" s="7" t="s">
        <v>42</v>
      </c>
      <c r="T49" s="7" t="s">
        <v>43</v>
      </c>
      <c r="U49" s="7" t="s">
        <v>46</v>
      </c>
      <c r="V49" s="5">
        <v>4.2</v>
      </c>
      <c r="W49" s="3">
        <v>69</v>
      </c>
      <c r="Y49" s="4"/>
      <c r="Z49" s="7"/>
      <c r="AA49" s="7"/>
      <c r="AB49" s="7"/>
      <c r="AC49" s="5"/>
      <c r="AD49" s="3">
        <v>69</v>
      </c>
      <c r="AF49" s="4"/>
      <c r="AG49" s="7"/>
      <c r="AH49" s="7"/>
      <c r="AI49" s="7"/>
      <c r="AJ49" s="5"/>
      <c r="AK49" s="3">
        <v>63</v>
      </c>
      <c r="AM49" s="4"/>
      <c r="AN49" s="7"/>
      <c r="AO49" s="7"/>
      <c r="AP49" s="7"/>
      <c r="AQ49" s="5"/>
      <c r="AR49" s="3">
        <v>67</v>
      </c>
      <c r="AT49" s="4"/>
      <c r="AU49" s="7"/>
      <c r="AV49" s="7"/>
      <c r="AW49" s="7"/>
      <c r="AX49" s="5"/>
      <c r="AY49" s="62">
        <v>66</v>
      </c>
    </row>
    <row r="50" spans="1:51" ht="19.5" thickBot="1" x14ac:dyDescent="0.45">
      <c r="A50" s="12">
        <f t="shared" si="8"/>
        <v>36</v>
      </c>
      <c r="B50" s="167">
        <f t="shared" si="0"/>
        <v>0</v>
      </c>
      <c r="C50" s="43">
        <f t="shared" si="13"/>
        <v>0</v>
      </c>
      <c r="D50" s="41">
        <f>D45</f>
        <v>0</v>
      </c>
      <c r="E50" s="41">
        <f>IF(R50&lt;=ηAH,1,0)</f>
        <v>0</v>
      </c>
      <c r="F50" s="157">
        <f t="shared" si="2"/>
        <v>0</v>
      </c>
      <c r="G50" s="158">
        <f t="shared" si="3"/>
        <v>0</v>
      </c>
      <c r="H50" s="158">
        <f t="shared" si="4"/>
        <v>0</v>
      </c>
      <c r="I50" s="158">
        <f t="shared" si="5"/>
        <v>0</v>
      </c>
      <c r="J50" s="159">
        <f t="shared" si="6"/>
        <v>0</v>
      </c>
      <c r="M50" s="112"/>
      <c r="N50" s="46"/>
      <c r="O50" s="46"/>
      <c r="P50" s="46"/>
      <c r="Q50" s="151"/>
      <c r="R50" s="75">
        <v>4.2</v>
      </c>
      <c r="S50" s="48" t="s">
        <v>42</v>
      </c>
      <c r="T50" s="48" t="s">
        <v>43</v>
      </c>
      <c r="U50" s="48"/>
      <c r="V50" s="67"/>
      <c r="W50" s="65">
        <v>66</v>
      </c>
      <c r="X50" s="46"/>
      <c r="Y50" s="75"/>
      <c r="Z50" s="48"/>
      <c r="AA50" s="48"/>
      <c r="AB50" s="48"/>
      <c r="AC50" s="67"/>
      <c r="AD50" s="65">
        <v>66</v>
      </c>
      <c r="AE50" s="46"/>
      <c r="AF50" s="75"/>
      <c r="AG50" s="48"/>
      <c r="AH50" s="48"/>
      <c r="AI50" s="48"/>
      <c r="AJ50" s="67"/>
      <c r="AK50" s="65">
        <v>61</v>
      </c>
      <c r="AL50" s="46"/>
      <c r="AM50" s="75"/>
      <c r="AN50" s="48"/>
      <c r="AO50" s="48"/>
      <c r="AP50" s="48"/>
      <c r="AQ50" s="67"/>
      <c r="AR50" s="65">
        <v>64</v>
      </c>
      <c r="AS50" s="46"/>
      <c r="AT50" s="75"/>
      <c r="AU50" s="48"/>
      <c r="AV50" s="48"/>
      <c r="AW50" s="48"/>
      <c r="AX50" s="67"/>
      <c r="AY50" s="66">
        <v>64</v>
      </c>
    </row>
    <row r="51" spans="1:51" ht="19.5" thickBot="1" x14ac:dyDescent="0.45">
      <c r="A51" s="12">
        <f t="shared" si="8"/>
        <v>37</v>
      </c>
      <c r="B51" s="167">
        <f t="shared" si="0"/>
        <v>0</v>
      </c>
      <c r="C51" s="5">
        <f>IF(AND(D51=1,E51=1),1,0)</f>
        <v>0</v>
      </c>
      <c r="D51" s="3">
        <f>IF(AND(M51&lt;UA値z,UA値z&lt;=Q51),1,0)</f>
        <v>0</v>
      </c>
      <c r="E51" s="3">
        <f>IF(R51&lt;=ηAH,1,0)</f>
        <v>1</v>
      </c>
      <c r="F51" s="163">
        <f t="shared" si="2"/>
        <v>100</v>
      </c>
      <c r="G51" s="164">
        <f t="shared" si="3"/>
        <v>100</v>
      </c>
      <c r="H51" s="164">
        <f t="shared" si="4"/>
        <v>93</v>
      </c>
      <c r="I51" s="164">
        <f t="shared" si="5"/>
        <v>91</v>
      </c>
      <c r="J51" s="165">
        <f t="shared" si="6"/>
        <v>91</v>
      </c>
      <c r="M51" s="77">
        <v>1.25</v>
      </c>
      <c r="N51" t="s">
        <v>46</v>
      </c>
      <c r="O51" t="s">
        <v>45</v>
      </c>
      <c r="P51" t="s">
        <v>42</v>
      </c>
      <c r="Q51" s="1">
        <v>1.47</v>
      </c>
      <c r="R51" s="12">
        <v>1.7</v>
      </c>
      <c r="S51" t="s">
        <v>42</v>
      </c>
      <c r="T51" t="s">
        <v>43</v>
      </c>
      <c r="V51" s="1"/>
      <c r="W51" s="41">
        <v>100</v>
      </c>
      <c r="Y51" s="12"/>
      <c r="AC51" s="1"/>
      <c r="AD51" s="41">
        <v>100</v>
      </c>
      <c r="AF51" s="12"/>
      <c r="AJ51" s="1"/>
      <c r="AK51" s="41">
        <v>93</v>
      </c>
      <c r="AM51" s="12"/>
      <c r="AQ51" s="1"/>
      <c r="AR51" s="41">
        <v>91</v>
      </c>
      <c r="AT51" s="12"/>
      <c r="AX51" s="1"/>
      <c r="AY51" s="78">
        <v>91</v>
      </c>
    </row>
    <row r="52" spans="1:51" ht="19.5" thickBot="1" x14ac:dyDescent="0.45">
      <c r="A52" s="13">
        <f t="shared" si="8"/>
        <v>38</v>
      </c>
      <c r="B52" s="167">
        <f t="shared" si="0"/>
        <v>0</v>
      </c>
      <c r="C52" s="43">
        <f>IF(AND(D52=1,E52=1),1,0)</f>
        <v>0</v>
      </c>
      <c r="D52" s="42">
        <f>IF(M52&lt;UA値z,1,0)</f>
        <v>0</v>
      </c>
      <c r="E52" s="42">
        <f>IF(R52&lt;=ηAH,1,0)</f>
        <v>1</v>
      </c>
      <c r="F52" s="160">
        <f t="shared" si="2"/>
        <v>485</v>
      </c>
      <c r="G52" s="161">
        <f t="shared" si="3"/>
        <v>485</v>
      </c>
      <c r="H52" s="161">
        <f t="shared" si="4"/>
        <v>491</v>
      </c>
      <c r="I52" s="161">
        <f t="shared" si="5"/>
        <v>406</v>
      </c>
      <c r="J52" s="162">
        <f t="shared" si="6"/>
        <v>405</v>
      </c>
      <c r="M52" s="49">
        <v>1.47</v>
      </c>
      <c r="N52" s="50" t="s">
        <v>46</v>
      </c>
      <c r="O52" s="50" t="s">
        <v>45</v>
      </c>
      <c r="P52" s="50"/>
      <c r="Q52" s="68"/>
      <c r="R52" s="79">
        <v>1.7</v>
      </c>
      <c r="S52" s="50" t="s">
        <v>42</v>
      </c>
      <c r="T52" s="50" t="s">
        <v>43</v>
      </c>
      <c r="U52" s="50"/>
      <c r="V52" s="68"/>
      <c r="W52" s="55">
        <v>485</v>
      </c>
      <c r="X52" s="50"/>
      <c r="Y52" s="79"/>
      <c r="Z52" s="50"/>
      <c r="AA52" s="50"/>
      <c r="AB52" s="50"/>
      <c r="AC52" s="68"/>
      <c r="AD52" s="55">
        <v>485</v>
      </c>
      <c r="AE52" s="50"/>
      <c r="AF52" s="79"/>
      <c r="AG52" s="50"/>
      <c r="AH52" s="50"/>
      <c r="AI52" s="50"/>
      <c r="AJ52" s="68"/>
      <c r="AK52" s="55">
        <v>491</v>
      </c>
      <c r="AL52" s="50"/>
      <c r="AM52" s="79"/>
      <c r="AN52" s="50"/>
      <c r="AO52" s="50"/>
      <c r="AP52" s="50"/>
      <c r="AQ52" s="68"/>
      <c r="AR52" s="55">
        <v>406</v>
      </c>
      <c r="AS52" s="50"/>
      <c r="AT52" s="79"/>
      <c r="AU52" s="50"/>
      <c r="AV52" s="50"/>
      <c r="AW52" s="50"/>
      <c r="AX52" s="68"/>
      <c r="AY52" s="56">
        <v>405</v>
      </c>
    </row>
    <row r="53" spans="1:51" x14ac:dyDescent="0.4">
      <c r="A53" s="447" t="s">
        <v>245</v>
      </c>
      <c r="B53" s="449">
        <f>SUM(B15:B52)</f>
        <v>48</v>
      </c>
    </row>
    <row r="54" spans="1:51" ht="19.5" thickBot="1" x14ac:dyDescent="0.45">
      <c r="A54" s="448"/>
      <c r="B54" s="450"/>
      <c r="L54" t="s">
        <v>131</v>
      </c>
    </row>
    <row r="55" spans="1:51" x14ac:dyDescent="0.4">
      <c r="R55" s="467" t="s">
        <v>248</v>
      </c>
      <c r="S55" s="467"/>
      <c r="T55" s="467"/>
      <c r="U55" s="467"/>
      <c r="V55" s="467"/>
      <c r="W55" s="467"/>
      <c r="Y55" s="467" t="s">
        <v>248</v>
      </c>
      <c r="Z55" s="467"/>
      <c r="AA55" s="467"/>
      <c r="AB55" s="467"/>
      <c r="AC55" s="467"/>
      <c r="AD55" s="467"/>
      <c r="AF55" s="467" t="s">
        <v>248</v>
      </c>
      <c r="AG55" s="467"/>
      <c r="AH55" s="467"/>
      <c r="AI55" s="467"/>
      <c r="AJ55" s="467"/>
      <c r="AK55" s="467"/>
      <c r="AM55" s="467" t="s">
        <v>248</v>
      </c>
      <c r="AN55" s="467"/>
      <c r="AO55" s="467"/>
      <c r="AP55" s="467"/>
      <c r="AQ55" s="467"/>
      <c r="AR55" s="467"/>
      <c r="AT55" s="467" t="s">
        <v>248</v>
      </c>
      <c r="AU55" s="467"/>
      <c r="AV55" s="467"/>
      <c r="AW55" s="467"/>
      <c r="AX55" s="467"/>
      <c r="AY55" s="467"/>
    </row>
    <row r="56" spans="1:51" x14ac:dyDescent="0.4">
      <c r="R56" s="467"/>
      <c r="S56" s="467"/>
      <c r="T56" s="467"/>
      <c r="U56" s="467"/>
      <c r="V56" s="467"/>
      <c r="W56" s="467"/>
      <c r="Y56" s="467"/>
      <c r="Z56" s="467"/>
      <c r="AA56" s="467"/>
      <c r="AB56" s="467"/>
      <c r="AC56" s="467"/>
      <c r="AD56" s="467"/>
      <c r="AF56" s="467"/>
      <c r="AG56" s="467"/>
      <c r="AH56" s="467"/>
      <c r="AI56" s="467"/>
      <c r="AJ56" s="467"/>
      <c r="AK56" s="467"/>
      <c r="AM56" s="467"/>
      <c r="AN56" s="467"/>
      <c r="AO56" s="467"/>
      <c r="AP56" s="467"/>
      <c r="AQ56" s="467"/>
      <c r="AR56" s="467"/>
      <c r="AT56" s="467"/>
      <c r="AU56" s="467"/>
      <c r="AV56" s="467"/>
      <c r="AW56" s="467"/>
      <c r="AX56" s="467"/>
      <c r="AY56" s="467"/>
    </row>
    <row r="57" spans="1:51" x14ac:dyDescent="0.4">
      <c r="R57" s="467"/>
      <c r="S57" s="467"/>
      <c r="T57" s="467"/>
      <c r="U57" s="467"/>
      <c r="V57" s="467"/>
      <c r="W57" s="467"/>
      <c r="Y57" s="467"/>
      <c r="Z57" s="467"/>
      <c r="AA57" s="467"/>
      <c r="AB57" s="467"/>
      <c r="AC57" s="467"/>
      <c r="AD57" s="467"/>
      <c r="AF57" s="467"/>
      <c r="AG57" s="467"/>
      <c r="AH57" s="467"/>
      <c r="AI57" s="467"/>
      <c r="AJ57" s="467"/>
      <c r="AK57" s="467"/>
      <c r="AM57" s="467"/>
      <c r="AN57" s="467"/>
      <c r="AO57" s="467"/>
      <c r="AP57" s="467"/>
      <c r="AQ57" s="467"/>
      <c r="AR57" s="467"/>
      <c r="AT57" s="467"/>
      <c r="AU57" s="467"/>
      <c r="AV57" s="467"/>
      <c r="AW57" s="467"/>
      <c r="AX57" s="467"/>
      <c r="AY57" s="467"/>
    </row>
    <row r="58" spans="1:51" x14ac:dyDescent="0.4">
      <c r="R58" s="467"/>
      <c r="S58" s="467"/>
      <c r="T58" s="467"/>
      <c r="U58" s="467"/>
      <c r="V58" s="467"/>
      <c r="W58" s="467"/>
      <c r="Y58" s="467"/>
      <c r="Z58" s="467"/>
      <c r="AA58" s="467"/>
      <c r="AB58" s="467"/>
      <c r="AC58" s="467"/>
      <c r="AD58" s="467"/>
      <c r="AF58" s="467"/>
      <c r="AG58" s="467"/>
      <c r="AH58" s="467"/>
      <c r="AI58" s="467"/>
      <c r="AJ58" s="467"/>
      <c r="AK58" s="467"/>
      <c r="AM58" s="467"/>
      <c r="AN58" s="467"/>
      <c r="AO58" s="467"/>
      <c r="AP58" s="467"/>
      <c r="AQ58" s="467"/>
      <c r="AR58" s="467"/>
      <c r="AT58" s="467"/>
      <c r="AU58" s="467"/>
      <c r="AV58" s="467"/>
      <c r="AW58" s="467"/>
      <c r="AX58" s="467"/>
      <c r="AY58" s="467"/>
    </row>
    <row r="59" spans="1:51" x14ac:dyDescent="0.4">
      <c r="R59" s="467"/>
      <c r="S59" s="467"/>
      <c r="T59" s="467"/>
      <c r="U59" s="467"/>
      <c r="V59" s="467"/>
      <c r="W59" s="467"/>
      <c r="Y59" s="467"/>
      <c r="Z59" s="467"/>
      <c r="AA59" s="467"/>
      <c r="AB59" s="467"/>
      <c r="AC59" s="467"/>
      <c r="AD59" s="467"/>
      <c r="AF59" s="467"/>
      <c r="AG59" s="467"/>
      <c r="AH59" s="467"/>
      <c r="AI59" s="467"/>
      <c r="AJ59" s="467"/>
      <c r="AK59" s="467"/>
      <c r="AM59" s="467"/>
      <c r="AN59" s="467"/>
      <c r="AO59" s="467"/>
      <c r="AP59" s="467"/>
      <c r="AQ59" s="467"/>
      <c r="AR59" s="467"/>
      <c r="AT59" s="467"/>
      <c r="AU59" s="467"/>
      <c r="AV59" s="467"/>
      <c r="AW59" s="467"/>
      <c r="AX59" s="467"/>
      <c r="AY59" s="467"/>
    </row>
    <row r="60" spans="1:51" x14ac:dyDescent="0.4">
      <c r="B60" s="444" t="s">
        <v>246</v>
      </c>
      <c r="C60" s="445"/>
      <c r="D60" s="445"/>
      <c r="E60" s="445"/>
      <c r="F60" s="445"/>
      <c r="G60" s="445"/>
      <c r="H60" s="445"/>
      <c r="I60" s="445"/>
      <c r="J60" s="446"/>
      <c r="R60" s="467"/>
      <c r="S60" s="467"/>
      <c r="T60" s="467"/>
      <c r="U60" s="467"/>
      <c r="V60" s="467"/>
      <c r="W60" s="467"/>
      <c r="Y60" s="467"/>
      <c r="Z60" s="467"/>
      <c r="AA60" s="467"/>
      <c r="AB60" s="467"/>
      <c r="AC60" s="467"/>
      <c r="AD60" s="467"/>
      <c r="AF60" s="467"/>
      <c r="AG60" s="467"/>
      <c r="AH60" s="467"/>
      <c r="AI60" s="467"/>
      <c r="AJ60" s="467"/>
      <c r="AK60" s="467"/>
      <c r="AM60" s="467"/>
      <c r="AN60" s="467"/>
      <c r="AO60" s="467"/>
      <c r="AP60" s="467"/>
      <c r="AQ60" s="467"/>
      <c r="AR60" s="467"/>
      <c r="AT60" s="467"/>
      <c r="AU60" s="467"/>
      <c r="AV60" s="467"/>
      <c r="AW60" s="467"/>
      <c r="AX60" s="467"/>
      <c r="AY60" s="467"/>
    </row>
    <row r="61" spans="1:51" ht="19.5" thickBot="1" x14ac:dyDescent="0.45">
      <c r="B61" s="451" t="s">
        <v>235</v>
      </c>
      <c r="C61" s="452"/>
      <c r="D61" s="454" t="s">
        <v>233</v>
      </c>
      <c r="E61" s="454" t="s">
        <v>203</v>
      </c>
      <c r="F61" s="451" t="s">
        <v>234</v>
      </c>
      <c r="G61" s="453"/>
      <c r="H61" s="453"/>
      <c r="I61" s="453"/>
      <c r="J61" s="452"/>
      <c r="R61" s="468"/>
      <c r="S61" s="468"/>
      <c r="T61" s="468"/>
      <c r="U61" s="468"/>
      <c r="V61" s="468"/>
      <c r="W61" s="468"/>
      <c r="Y61" s="468"/>
      <c r="Z61" s="468"/>
      <c r="AA61" s="468"/>
      <c r="AB61" s="468"/>
      <c r="AC61" s="468"/>
      <c r="AD61" s="468"/>
      <c r="AF61" s="468"/>
      <c r="AG61" s="468"/>
      <c r="AH61" s="468"/>
      <c r="AI61" s="468"/>
      <c r="AJ61" s="468"/>
      <c r="AK61" s="468"/>
      <c r="AM61" s="468"/>
      <c r="AN61" s="468"/>
      <c r="AO61" s="468"/>
      <c r="AP61" s="468"/>
      <c r="AQ61" s="468"/>
      <c r="AR61" s="468"/>
      <c r="AT61" s="468"/>
      <c r="AU61" s="468"/>
      <c r="AV61" s="468"/>
      <c r="AW61" s="468"/>
      <c r="AX61" s="468"/>
      <c r="AY61" s="468"/>
    </row>
    <row r="62" spans="1:51" ht="19.5" thickBot="1" x14ac:dyDescent="0.45">
      <c r="A62" s="3" t="s">
        <v>244</v>
      </c>
      <c r="B62" s="41" t="s">
        <v>234</v>
      </c>
      <c r="C62" s="42" t="s">
        <v>242</v>
      </c>
      <c r="D62" s="455"/>
      <c r="E62" s="455"/>
      <c r="F62" s="3">
        <v>1</v>
      </c>
      <c r="G62" s="3">
        <v>2</v>
      </c>
      <c r="H62" s="3">
        <v>3</v>
      </c>
      <c r="I62" s="3">
        <v>4</v>
      </c>
      <c r="J62" s="3">
        <v>5</v>
      </c>
      <c r="M62" s="460" t="s">
        <v>41</v>
      </c>
      <c r="N62" s="461"/>
      <c r="O62" s="461"/>
      <c r="P62" s="461"/>
      <c r="Q62" s="461"/>
      <c r="R62" s="461" t="s">
        <v>230</v>
      </c>
      <c r="S62" s="461"/>
      <c r="T62" s="461"/>
      <c r="U62" s="461"/>
      <c r="V62" s="461"/>
      <c r="W62" s="55" t="s">
        <v>44</v>
      </c>
      <c r="X62" s="50"/>
      <c r="Y62" s="461" t="s">
        <v>230</v>
      </c>
      <c r="Z62" s="461"/>
      <c r="AA62" s="461"/>
      <c r="AB62" s="461"/>
      <c r="AC62" s="461"/>
      <c r="AD62" s="55" t="s">
        <v>44</v>
      </c>
      <c r="AE62" s="50"/>
      <c r="AF62" s="461" t="s">
        <v>230</v>
      </c>
      <c r="AG62" s="461"/>
      <c r="AH62" s="461"/>
      <c r="AI62" s="461"/>
      <c r="AJ62" s="461"/>
      <c r="AK62" s="55" t="s">
        <v>44</v>
      </c>
      <c r="AL62" s="50"/>
      <c r="AM62" s="461" t="s">
        <v>230</v>
      </c>
      <c r="AN62" s="461"/>
      <c r="AO62" s="461"/>
      <c r="AP62" s="461"/>
      <c r="AQ62" s="461"/>
      <c r="AR62" s="55" t="s">
        <v>44</v>
      </c>
      <c r="AS62" s="50"/>
      <c r="AT62" s="461" t="s">
        <v>230</v>
      </c>
      <c r="AU62" s="461"/>
      <c r="AV62" s="461"/>
      <c r="AW62" s="461"/>
      <c r="AX62" s="461"/>
      <c r="AY62" s="56" t="s">
        <v>44</v>
      </c>
    </row>
    <row r="63" spans="1:51" x14ac:dyDescent="0.4">
      <c r="A63" s="38">
        <v>1</v>
      </c>
      <c r="B63" s="149">
        <f>IF(C63=1,INDEX(冷房設備配列4地域,A63,暖房方式番号Z),0)</f>
        <v>0</v>
      </c>
      <c r="C63" s="40">
        <f>IF(AND(D63=1,E63=1),1,0)</f>
        <v>0</v>
      </c>
      <c r="D63" s="40">
        <f>IF(AND(M63&lt;=UA値z,UA値z&lt;Q63),1,0)</f>
        <v>1</v>
      </c>
      <c r="E63" s="40">
        <f>IF(ηAC値Z&lt;=V63,1,0)</f>
        <v>0</v>
      </c>
      <c r="F63" s="157">
        <f t="shared" ref="F63:F98" si="14">IF(E63=1,W63,0)</f>
        <v>0</v>
      </c>
      <c r="G63" s="155">
        <f t="shared" ref="G63:G98" si="15">IF(E63=1,AD63,0)</f>
        <v>0</v>
      </c>
      <c r="H63" s="155">
        <f t="shared" ref="H63:H98" si="16">IF(E63=1,AK63,0)</f>
        <v>0</v>
      </c>
      <c r="I63" s="155">
        <f t="shared" ref="I63:I98" si="17">IF(E63=1,AR63,0)</f>
        <v>0</v>
      </c>
      <c r="J63" s="156">
        <f t="shared" ref="J63:J98" si="18">IF(E63=1,AY63,0)</f>
        <v>0</v>
      </c>
      <c r="M63" s="458">
        <v>0.6</v>
      </c>
      <c r="N63" s="459" t="s">
        <v>42</v>
      </c>
      <c r="O63" s="459" t="s">
        <v>45</v>
      </c>
      <c r="P63" s="459" t="s">
        <v>46</v>
      </c>
      <c r="Q63" s="465">
        <v>0.65</v>
      </c>
      <c r="R63" s="70"/>
      <c r="S63" s="47"/>
      <c r="T63" s="47" t="s">
        <v>47</v>
      </c>
      <c r="U63" s="47" t="s">
        <v>42</v>
      </c>
      <c r="V63" s="76">
        <v>1.7</v>
      </c>
      <c r="W63" s="59">
        <v>3</v>
      </c>
      <c r="X63" s="60"/>
      <c r="Y63" s="70"/>
      <c r="Z63" s="47"/>
      <c r="AA63" s="47"/>
      <c r="AB63" s="47"/>
      <c r="AC63" s="76"/>
      <c r="AD63" s="59">
        <v>3</v>
      </c>
      <c r="AE63" s="60"/>
      <c r="AF63" s="70"/>
      <c r="AG63" s="47"/>
      <c r="AH63" s="47"/>
      <c r="AI63" s="47"/>
      <c r="AJ63" s="76"/>
      <c r="AK63" s="59">
        <v>3</v>
      </c>
      <c r="AL63" s="60"/>
      <c r="AM63" s="70"/>
      <c r="AN63" s="47"/>
      <c r="AO63" s="47"/>
      <c r="AP63" s="47"/>
      <c r="AQ63" s="76"/>
      <c r="AR63" s="59">
        <v>3</v>
      </c>
      <c r="AS63" s="60"/>
      <c r="AT63" s="70"/>
      <c r="AU63" s="47"/>
      <c r="AV63" s="47"/>
      <c r="AW63" s="47"/>
      <c r="AX63" s="76"/>
      <c r="AY63" s="61">
        <v>3</v>
      </c>
    </row>
    <row r="64" spans="1:51" x14ac:dyDescent="0.4">
      <c r="A64" s="12">
        <f>A63+1</f>
        <v>2</v>
      </c>
      <c r="B64" s="77">
        <f t="shared" ref="B64:B98" si="19">IF(C64=1,INDEX(冷房設備配列4地域,A64,暖房方式番号Z),0)</f>
        <v>3</v>
      </c>
      <c r="C64" s="41">
        <f>IF(AND(D64=1,E64=1),1,0)</f>
        <v>1</v>
      </c>
      <c r="D64" s="41">
        <f>D63</f>
        <v>1</v>
      </c>
      <c r="E64" s="41">
        <f>IF(AND(R64&lt;ηAC値Z,ηAC値Z&lt;=V64),1,0)</f>
        <v>1</v>
      </c>
      <c r="F64" s="157">
        <f t="shared" si="14"/>
        <v>3</v>
      </c>
      <c r="G64" s="158">
        <f t="shared" si="15"/>
        <v>3</v>
      </c>
      <c r="H64" s="158">
        <f t="shared" si="16"/>
        <v>3</v>
      </c>
      <c r="I64" s="158">
        <f t="shared" si="17"/>
        <v>3</v>
      </c>
      <c r="J64" s="159">
        <f t="shared" si="18"/>
        <v>3</v>
      </c>
      <c r="M64" s="456"/>
      <c r="N64" s="457"/>
      <c r="O64" s="457"/>
      <c r="P64" s="457"/>
      <c r="Q64" s="462"/>
      <c r="R64" s="4">
        <v>1.7</v>
      </c>
      <c r="S64" s="7" t="s">
        <v>46</v>
      </c>
      <c r="T64" s="7" t="s">
        <v>47</v>
      </c>
      <c r="U64" s="7" t="s">
        <v>42</v>
      </c>
      <c r="V64" s="5">
        <v>2.2000000000000002</v>
      </c>
      <c r="W64" s="3">
        <v>3</v>
      </c>
      <c r="Y64" s="4"/>
      <c r="Z64" s="7"/>
      <c r="AA64" s="7"/>
      <c r="AB64" s="7"/>
      <c r="AC64" s="5"/>
      <c r="AD64" s="3">
        <v>3</v>
      </c>
      <c r="AF64" s="4"/>
      <c r="AG64" s="7"/>
      <c r="AH64" s="7"/>
      <c r="AI64" s="7"/>
      <c r="AJ64" s="5"/>
      <c r="AK64" s="3">
        <v>3</v>
      </c>
      <c r="AM64" s="4"/>
      <c r="AN64" s="7"/>
      <c r="AO64" s="7"/>
      <c r="AP64" s="7"/>
      <c r="AQ64" s="5"/>
      <c r="AR64" s="3">
        <v>3</v>
      </c>
      <c r="AT64" s="4"/>
      <c r="AU64" s="7"/>
      <c r="AV64" s="7"/>
      <c r="AW64" s="7"/>
      <c r="AX64" s="5"/>
      <c r="AY64" s="62">
        <v>3</v>
      </c>
    </row>
    <row r="65" spans="1:51" x14ac:dyDescent="0.4">
      <c r="A65" s="12">
        <f t="shared" ref="A65:A98" si="20">A64+1</f>
        <v>3</v>
      </c>
      <c r="B65" s="77">
        <f t="shared" si="19"/>
        <v>0</v>
      </c>
      <c r="C65" s="41">
        <f t="shared" ref="C65:C98" si="21">IF(AND(D65=1,E65=1),1,0)</f>
        <v>0</v>
      </c>
      <c r="D65" s="41">
        <f>D63</f>
        <v>1</v>
      </c>
      <c r="E65" s="41">
        <f>IF(AND(R65&lt;ηAC値Z,ηAC値Z&lt;=V65),1,0)</f>
        <v>0</v>
      </c>
      <c r="F65" s="157">
        <f t="shared" si="14"/>
        <v>0</v>
      </c>
      <c r="G65" s="158">
        <f t="shared" si="15"/>
        <v>0</v>
      </c>
      <c r="H65" s="158">
        <f t="shared" si="16"/>
        <v>0</v>
      </c>
      <c r="I65" s="158">
        <f t="shared" si="17"/>
        <v>0</v>
      </c>
      <c r="J65" s="159">
        <f t="shared" si="18"/>
        <v>0</v>
      </c>
      <c r="M65" s="456"/>
      <c r="N65" s="457"/>
      <c r="O65" s="457"/>
      <c r="P65" s="457"/>
      <c r="Q65" s="462"/>
      <c r="R65" s="4">
        <v>2.2000000000000002</v>
      </c>
      <c r="S65" s="7" t="s">
        <v>46</v>
      </c>
      <c r="T65" s="7" t="s">
        <v>47</v>
      </c>
      <c r="U65" s="7" t="s">
        <v>42</v>
      </c>
      <c r="V65" s="5">
        <v>2.7</v>
      </c>
      <c r="W65" s="3">
        <v>4</v>
      </c>
      <c r="Y65" s="4"/>
      <c r="Z65" s="7"/>
      <c r="AA65" s="7"/>
      <c r="AB65" s="7"/>
      <c r="AC65" s="5"/>
      <c r="AD65" s="3">
        <v>4</v>
      </c>
      <c r="AF65" s="4"/>
      <c r="AG65" s="7"/>
      <c r="AH65" s="7"/>
      <c r="AI65" s="7"/>
      <c r="AJ65" s="5"/>
      <c r="AK65" s="3">
        <v>4</v>
      </c>
      <c r="AM65" s="4"/>
      <c r="AN65" s="7"/>
      <c r="AO65" s="7"/>
      <c r="AP65" s="7"/>
      <c r="AQ65" s="5"/>
      <c r="AR65" s="3">
        <v>4</v>
      </c>
      <c r="AT65" s="4"/>
      <c r="AU65" s="7"/>
      <c r="AV65" s="7"/>
      <c r="AW65" s="7"/>
      <c r="AX65" s="5"/>
      <c r="AY65" s="62">
        <v>4</v>
      </c>
    </row>
    <row r="66" spans="1:51" x14ac:dyDescent="0.4">
      <c r="A66" s="12">
        <f t="shared" si="20"/>
        <v>4</v>
      </c>
      <c r="B66" s="77">
        <f t="shared" si="19"/>
        <v>0</v>
      </c>
      <c r="C66" s="41">
        <f t="shared" si="21"/>
        <v>0</v>
      </c>
      <c r="D66" s="41">
        <f>D63</f>
        <v>1</v>
      </c>
      <c r="E66" s="41">
        <f>IF(AND(R66&lt;ηAC値Z,ηAC値Z&lt;=V66),1,0)</f>
        <v>0</v>
      </c>
      <c r="F66" s="157">
        <f t="shared" si="14"/>
        <v>0</v>
      </c>
      <c r="G66" s="158">
        <f t="shared" si="15"/>
        <v>0</v>
      </c>
      <c r="H66" s="158">
        <f t="shared" si="16"/>
        <v>0</v>
      </c>
      <c r="I66" s="158">
        <f t="shared" si="17"/>
        <v>0</v>
      </c>
      <c r="J66" s="159">
        <f t="shared" si="18"/>
        <v>0</v>
      </c>
      <c r="M66" s="456"/>
      <c r="N66" s="457"/>
      <c r="O66" s="457"/>
      <c r="P66" s="457"/>
      <c r="Q66" s="462"/>
      <c r="R66" s="4">
        <v>2.7</v>
      </c>
      <c r="S66" s="7" t="s">
        <v>46</v>
      </c>
      <c r="T66" s="7" t="s">
        <v>47</v>
      </c>
      <c r="U66" s="7" t="s">
        <v>42</v>
      </c>
      <c r="V66" s="5">
        <v>3.2</v>
      </c>
      <c r="W66" s="3">
        <v>4</v>
      </c>
      <c r="Y66" s="4"/>
      <c r="Z66" s="7"/>
      <c r="AA66" s="7"/>
      <c r="AB66" s="7"/>
      <c r="AC66" s="5"/>
      <c r="AD66" s="3">
        <v>4</v>
      </c>
      <c r="AF66" s="4"/>
      <c r="AG66" s="7"/>
      <c r="AH66" s="7"/>
      <c r="AI66" s="7"/>
      <c r="AJ66" s="5"/>
      <c r="AK66" s="3">
        <v>4</v>
      </c>
      <c r="AM66" s="4"/>
      <c r="AN66" s="7"/>
      <c r="AO66" s="7"/>
      <c r="AP66" s="7"/>
      <c r="AQ66" s="5"/>
      <c r="AR66" s="3">
        <v>4</v>
      </c>
      <c r="AT66" s="4"/>
      <c r="AU66" s="7"/>
      <c r="AV66" s="7"/>
      <c r="AW66" s="7"/>
      <c r="AX66" s="5"/>
      <c r="AY66" s="62">
        <v>4</v>
      </c>
    </row>
    <row r="67" spans="1:51" x14ac:dyDescent="0.4">
      <c r="A67" s="12">
        <f t="shared" si="20"/>
        <v>5</v>
      </c>
      <c r="B67" s="77">
        <f t="shared" si="19"/>
        <v>0</v>
      </c>
      <c r="C67" s="41">
        <f t="shared" si="21"/>
        <v>0</v>
      </c>
      <c r="D67" s="41">
        <f>D63</f>
        <v>1</v>
      </c>
      <c r="E67" s="41">
        <f>IF(AND(R67&lt;ηAC値Z,ηAC値Z&lt;=V67),1,0)</f>
        <v>0</v>
      </c>
      <c r="F67" s="157">
        <f t="shared" si="14"/>
        <v>0</v>
      </c>
      <c r="G67" s="158">
        <f t="shared" si="15"/>
        <v>0</v>
      </c>
      <c r="H67" s="158">
        <f t="shared" si="16"/>
        <v>0</v>
      </c>
      <c r="I67" s="158">
        <f t="shared" si="17"/>
        <v>0</v>
      </c>
      <c r="J67" s="159">
        <f t="shared" si="18"/>
        <v>0</v>
      </c>
      <c r="M67" s="456"/>
      <c r="N67" s="457"/>
      <c r="O67" s="457"/>
      <c r="P67" s="457"/>
      <c r="Q67" s="462"/>
      <c r="R67" s="4">
        <v>3.2</v>
      </c>
      <c r="S67" s="7" t="s">
        <v>46</v>
      </c>
      <c r="T67" s="7" t="s">
        <v>47</v>
      </c>
      <c r="U67" s="7" t="s">
        <v>42</v>
      </c>
      <c r="V67" s="5">
        <v>3.7</v>
      </c>
      <c r="W67" s="3">
        <v>5</v>
      </c>
      <c r="Y67" s="4"/>
      <c r="Z67" s="7"/>
      <c r="AA67" s="7"/>
      <c r="AB67" s="7"/>
      <c r="AC67" s="5"/>
      <c r="AD67" s="3">
        <v>5</v>
      </c>
      <c r="AF67" s="4"/>
      <c r="AG67" s="7"/>
      <c r="AH67" s="7"/>
      <c r="AI67" s="7"/>
      <c r="AJ67" s="5"/>
      <c r="AK67" s="3">
        <v>5</v>
      </c>
      <c r="AM67" s="4"/>
      <c r="AN67" s="7"/>
      <c r="AO67" s="7"/>
      <c r="AP67" s="7"/>
      <c r="AQ67" s="5"/>
      <c r="AR67" s="3">
        <v>5</v>
      </c>
      <c r="AT67" s="4"/>
      <c r="AU67" s="7"/>
      <c r="AV67" s="7"/>
      <c r="AW67" s="7"/>
      <c r="AX67" s="5"/>
      <c r="AY67" s="62">
        <v>5</v>
      </c>
    </row>
    <row r="68" spans="1:51" ht="19.5" thickBot="1" x14ac:dyDescent="0.45">
      <c r="A68" s="12">
        <f t="shared" si="20"/>
        <v>6</v>
      </c>
      <c r="B68" s="77">
        <f t="shared" si="19"/>
        <v>0</v>
      </c>
      <c r="C68" s="41">
        <f t="shared" si="21"/>
        <v>0</v>
      </c>
      <c r="D68" s="42">
        <f>D63</f>
        <v>1</v>
      </c>
      <c r="E68" s="41">
        <f>IF(AND(R68&lt;ηAC値Z,ηAC値Z&lt;=V68),1,0)</f>
        <v>0</v>
      </c>
      <c r="F68" s="160">
        <f t="shared" si="14"/>
        <v>0</v>
      </c>
      <c r="G68" s="161">
        <f t="shared" si="15"/>
        <v>0</v>
      </c>
      <c r="H68" s="161">
        <f t="shared" si="16"/>
        <v>0</v>
      </c>
      <c r="I68" s="161">
        <f t="shared" si="17"/>
        <v>0</v>
      </c>
      <c r="J68" s="162">
        <f t="shared" si="18"/>
        <v>0</v>
      </c>
      <c r="M68" s="456"/>
      <c r="N68" s="457"/>
      <c r="O68" s="457"/>
      <c r="P68" s="457"/>
      <c r="Q68" s="462"/>
      <c r="R68" s="38">
        <v>3.7</v>
      </c>
      <c r="S68" s="39" t="s">
        <v>46</v>
      </c>
      <c r="T68" s="39" t="s">
        <v>47</v>
      </c>
      <c r="U68" s="39" t="s">
        <v>42</v>
      </c>
      <c r="V68" s="37">
        <v>4.2</v>
      </c>
      <c r="W68" s="40">
        <v>5</v>
      </c>
      <c r="Y68" s="38"/>
      <c r="Z68" s="39"/>
      <c r="AA68" s="39"/>
      <c r="AB68" s="39"/>
      <c r="AC68" s="37"/>
      <c r="AD68" s="40">
        <v>6</v>
      </c>
      <c r="AF68" s="38"/>
      <c r="AG68" s="39"/>
      <c r="AH68" s="39"/>
      <c r="AI68" s="39"/>
      <c r="AJ68" s="37"/>
      <c r="AK68" s="40">
        <v>6</v>
      </c>
      <c r="AM68" s="38"/>
      <c r="AN68" s="39"/>
      <c r="AO68" s="39"/>
      <c r="AP68" s="39"/>
      <c r="AQ68" s="37"/>
      <c r="AR68" s="40">
        <v>6</v>
      </c>
      <c r="AT68" s="38"/>
      <c r="AU68" s="39"/>
      <c r="AV68" s="39"/>
      <c r="AW68" s="39"/>
      <c r="AX68" s="37"/>
      <c r="AY68" s="73">
        <v>6</v>
      </c>
    </row>
    <row r="69" spans="1:51" x14ac:dyDescent="0.4">
      <c r="A69" s="12">
        <f t="shared" si="20"/>
        <v>7</v>
      </c>
      <c r="B69" s="77">
        <f t="shared" si="19"/>
        <v>0</v>
      </c>
      <c r="C69" s="41">
        <f t="shared" si="21"/>
        <v>0</v>
      </c>
      <c r="D69" s="40">
        <f>IF(AND(M69&lt;=UA値z,UA値z&lt;Q69),1,0)</f>
        <v>0</v>
      </c>
      <c r="E69" s="40">
        <f>IF(ηAC値Z&lt;=V69,1,0)</f>
        <v>0</v>
      </c>
      <c r="F69" s="154">
        <f t="shared" si="14"/>
        <v>0</v>
      </c>
      <c r="G69" s="155">
        <f t="shared" si="15"/>
        <v>0</v>
      </c>
      <c r="H69" s="155">
        <f t="shared" si="16"/>
        <v>0</v>
      </c>
      <c r="I69" s="155">
        <f t="shared" si="17"/>
        <v>0</v>
      </c>
      <c r="J69" s="156">
        <f t="shared" si="18"/>
        <v>0</v>
      </c>
      <c r="M69" s="458">
        <v>0.65</v>
      </c>
      <c r="N69" s="459" t="s">
        <v>42</v>
      </c>
      <c r="O69" s="459" t="s">
        <v>45</v>
      </c>
      <c r="P69" s="459" t="s">
        <v>46</v>
      </c>
      <c r="Q69" s="465">
        <v>0.7</v>
      </c>
      <c r="R69" s="70"/>
      <c r="S69" s="47"/>
      <c r="T69" s="47" t="s">
        <v>47</v>
      </c>
      <c r="U69" s="47" t="s">
        <v>42</v>
      </c>
      <c r="V69" s="76">
        <v>1.7</v>
      </c>
      <c r="W69" s="59">
        <v>3</v>
      </c>
      <c r="X69" s="60"/>
      <c r="Y69" s="70"/>
      <c r="Z69" s="47"/>
      <c r="AA69" s="47"/>
      <c r="AB69" s="47"/>
      <c r="AC69" s="76"/>
      <c r="AD69" s="59">
        <v>3</v>
      </c>
      <c r="AE69" s="60"/>
      <c r="AF69" s="70"/>
      <c r="AG69" s="47"/>
      <c r="AH69" s="47"/>
      <c r="AI69" s="47"/>
      <c r="AJ69" s="76"/>
      <c r="AK69" s="59">
        <v>3</v>
      </c>
      <c r="AL69" s="60"/>
      <c r="AM69" s="70"/>
      <c r="AN69" s="47"/>
      <c r="AO69" s="47"/>
      <c r="AP69" s="47"/>
      <c r="AQ69" s="76"/>
      <c r="AR69" s="59">
        <v>3</v>
      </c>
      <c r="AS69" s="60"/>
      <c r="AT69" s="70"/>
      <c r="AU69" s="47"/>
      <c r="AV69" s="47"/>
      <c r="AW69" s="47"/>
      <c r="AX69" s="76"/>
      <c r="AY69" s="61">
        <v>3</v>
      </c>
    </row>
    <row r="70" spans="1:51" x14ac:dyDescent="0.4">
      <c r="A70" s="12">
        <f t="shared" si="20"/>
        <v>8</v>
      </c>
      <c r="B70" s="77">
        <f t="shared" si="19"/>
        <v>0</v>
      </c>
      <c r="C70" s="41">
        <f t="shared" si="21"/>
        <v>0</v>
      </c>
      <c r="D70" s="41">
        <f>D69</f>
        <v>0</v>
      </c>
      <c r="E70" s="41">
        <f>IF(AND(R70&lt;ηAC値Z,ηAC値Z&lt;=V70),1,0)</f>
        <v>1</v>
      </c>
      <c r="F70" s="157">
        <f t="shared" si="14"/>
        <v>3</v>
      </c>
      <c r="G70" s="158">
        <f t="shared" si="15"/>
        <v>3</v>
      </c>
      <c r="H70" s="158">
        <f t="shared" si="16"/>
        <v>3</v>
      </c>
      <c r="I70" s="158">
        <f t="shared" si="17"/>
        <v>3</v>
      </c>
      <c r="J70" s="159">
        <f t="shared" si="18"/>
        <v>3</v>
      </c>
      <c r="M70" s="456"/>
      <c r="N70" s="457"/>
      <c r="O70" s="457"/>
      <c r="P70" s="457"/>
      <c r="Q70" s="462"/>
      <c r="R70" s="4">
        <v>1.7</v>
      </c>
      <c r="S70" s="7" t="s">
        <v>46</v>
      </c>
      <c r="T70" s="7" t="s">
        <v>47</v>
      </c>
      <c r="U70" s="7" t="s">
        <v>42</v>
      </c>
      <c r="V70" s="5">
        <v>2.2000000000000002</v>
      </c>
      <c r="W70" s="3">
        <v>3</v>
      </c>
      <c r="Y70" s="4"/>
      <c r="Z70" s="7"/>
      <c r="AA70" s="7"/>
      <c r="AB70" s="7"/>
      <c r="AC70" s="5"/>
      <c r="AD70" s="3">
        <v>3</v>
      </c>
      <c r="AF70" s="4"/>
      <c r="AG70" s="7"/>
      <c r="AH70" s="7"/>
      <c r="AI70" s="7"/>
      <c r="AJ70" s="5"/>
      <c r="AK70" s="3">
        <v>3</v>
      </c>
      <c r="AM70" s="4"/>
      <c r="AN70" s="7"/>
      <c r="AO70" s="7"/>
      <c r="AP70" s="7"/>
      <c r="AQ70" s="5"/>
      <c r="AR70" s="3">
        <v>3</v>
      </c>
      <c r="AT70" s="4"/>
      <c r="AU70" s="7"/>
      <c r="AV70" s="7"/>
      <c r="AW70" s="7"/>
      <c r="AX70" s="5"/>
      <c r="AY70" s="62">
        <v>3</v>
      </c>
    </row>
    <row r="71" spans="1:51" x14ac:dyDescent="0.4">
      <c r="A71" s="12">
        <f t="shared" si="20"/>
        <v>9</v>
      </c>
      <c r="B71" s="77">
        <f t="shared" si="19"/>
        <v>0</v>
      </c>
      <c r="C71" s="41">
        <f t="shared" si="21"/>
        <v>0</v>
      </c>
      <c r="D71" s="41">
        <f>D69</f>
        <v>0</v>
      </c>
      <c r="E71" s="41">
        <f>IF(AND(R71&lt;ηAC値Z,ηAC値Z&lt;=V71),1,0)</f>
        <v>0</v>
      </c>
      <c r="F71" s="157">
        <f t="shared" si="14"/>
        <v>0</v>
      </c>
      <c r="G71" s="158">
        <f t="shared" si="15"/>
        <v>0</v>
      </c>
      <c r="H71" s="158">
        <f t="shared" si="16"/>
        <v>0</v>
      </c>
      <c r="I71" s="158">
        <f t="shared" si="17"/>
        <v>0</v>
      </c>
      <c r="J71" s="159">
        <f t="shared" si="18"/>
        <v>0</v>
      </c>
      <c r="M71" s="456"/>
      <c r="N71" s="457"/>
      <c r="O71" s="457"/>
      <c r="P71" s="457"/>
      <c r="Q71" s="462"/>
      <c r="R71" s="4">
        <v>2.2000000000000002</v>
      </c>
      <c r="S71" s="7" t="s">
        <v>46</v>
      </c>
      <c r="T71" s="7" t="s">
        <v>47</v>
      </c>
      <c r="U71" s="7" t="s">
        <v>42</v>
      </c>
      <c r="V71" s="5">
        <v>2.7</v>
      </c>
      <c r="W71" s="3">
        <v>3</v>
      </c>
      <c r="Y71" s="4"/>
      <c r="Z71" s="7"/>
      <c r="AA71" s="7"/>
      <c r="AB71" s="7"/>
      <c r="AC71" s="5"/>
      <c r="AD71" s="3">
        <v>4</v>
      </c>
      <c r="AF71" s="4"/>
      <c r="AG71" s="7"/>
      <c r="AH71" s="7"/>
      <c r="AI71" s="7"/>
      <c r="AJ71" s="5"/>
      <c r="AK71" s="3">
        <v>4</v>
      </c>
      <c r="AM71" s="4"/>
      <c r="AN71" s="7"/>
      <c r="AO71" s="7"/>
      <c r="AP71" s="7"/>
      <c r="AQ71" s="5"/>
      <c r="AR71" s="3">
        <v>4</v>
      </c>
      <c r="AT71" s="4"/>
      <c r="AU71" s="7"/>
      <c r="AV71" s="7"/>
      <c r="AW71" s="7"/>
      <c r="AX71" s="5"/>
      <c r="AY71" s="62">
        <v>4</v>
      </c>
    </row>
    <row r="72" spans="1:51" x14ac:dyDescent="0.4">
      <c r="A72" s="12">
        <f t="shared" si="20"/>
        <v>10</v>
      </c>
      <c r="B72" s="77">
        <f t="shared" si="19"/>
        <v>0</v>
      </c>
      <c r="C72" s="41">
        <f t="shared" si="21"/>
        <v>0</v>
      </c>
      <c r="D72" s="41">
        <f>D69</f>
        <v>0</v>
      </c>
      <c r="E72" s="41">
        <f>IF(AND(R72&lt;ηAC値Z,ηAC値Z&lt;=V72),1,0)</f>
        <v>0</v>
      </c>
      <c r="F72" s="157">
        <f t="shared" si="14"/>
        <v>0</v>
      </c>
      <c r="G72" s="158">
        <f t="shared" si="15"/>
        <v>0</v>
      </c>
      <c r="H72" s="158">
        <f t="shared" si="16"/>
        <v>0</v>
      </c>
      <c r="I72" s="158">
        <f t="shared" si="17"/>
        <v>0</v>
      </c>
      <c r="J72" s="159">
        <f t="shared" si="18"/>
        <v>0</v>
      </c>
      <c r="M72" s="456"/>
      <c r="N72" s="457"/>
      <c r="O72" s="457"/>
      <c r="P72" s="457"/>
      <c r="Q72" s="462"/>
      <c r="R72" s="4">
        <v>2.7</v>
      </c>
      <c r="S72" s="7" t="s">
        <v>46</v>
      </c>
      <c r="T72" s="7" t="s">
        <v>47</v>
      </c>
      <c r="U72" s="7" t="s">
        <v>42</v>
      </c>
      <c r="V72" s="5">
        <v>3.2</v>
      </c>
      <c r="W72" s="3">
        <v>4</v>
      </c>
      <c r="Y72" s="4"/>
      <c r="Z72" s="7"/>
      <c r="AA72" s="7"/>
      <c r="AB72" s="7"/>
      <c r="AC72" s="5"/>
      <c r="AD72" s="3">
        <v>4</v>
      </c>
      <c r="AF72" s="4"/>
      <c r="AG72" s="7"/>
      <c r="AH72" s="7"/>
      <c r="AI72" s="7"/>
      <c r="AJ72" s="5"/>
      <c r="AK72" s="3">
        <v>4</v>
      </c>
      <c r="AM72" s="4"/>
      <c r="AN72" s="7"/>
      <c r="AO72" s="7"/>
      <c r="AP72" s="7"/>
      <c r="AQ72" s="5"/>
      <c r="AR72" s="3">
        <v>4</v>
      </c>
      <c r="AT72" s="4"/>
      <c r="AU72" s="7"/>
      <c r="AV72" s="7"/>
      <c r="AW72" s="7"/>
      <c r="AX72" s="5"/>
      <c r="AY72" s="62">
        <v>4</v>
      </c>
    </row>
    <row r="73" spans="1:51" x14ac:dyDescent="0.4">
      <c r="A73" s="12">
        <f t="shared" si="20"/>
        <v>11</v>
      </c>
      <c r="B73" s="77">
        <f t="shared" si="19"/>
        <v>0</v>
      </c>
      <c r="C73" s="41">
        <f t="shared" si="21"/>
        <v>0</v>
      </c>
      <c r="D73" s="41">
        <f>D69</f>
        <v>0</v>
      </c>
      <c r="E73" s="41">
        <f>IF(AND(R73&lt;ηAC値Z,ηAC値Z&lt;=V73),1,0)</f>
        <v>0</v>
      </c>
      <c r="F73" s="157">
        <f t="shared" si="14"/>
        <v>0</v>
      </c>
      <c r="G73" s="158">
        <f t="shared" si="15"/>
        <v>0</v>
      </c>
      <c r="H73" s="158">
        <f t="shared" si="16"/>
        <v>0</v>
      </c>
      <c r="I73" s="158">
        <f t="shared" si="17"/>
        <v>0</v>
      </c>
      <c r="J73" s="159">
        <f t="shared" si="18"/>
        <v>0</v>
      </c>
      <c r="M73" s="456"/>
      <c r="N73" s="457"/>
      <c r="O73" s="457"/>
      <c r="P73" s="457"/>
      <c r="Q73" s="462"/>
      <c r="R73" s="4">
        <v>3.2</v>
      </c>
      <c r="S73" s="7" t="s">
        <v>46</v>
      </c>
      <c r="T73" s="7" t="s">
        <v>47</v>
      </c>
      <c r="U73" s="7" t="s">
        <v>42</v>
      </c>
      <c r="V73" s="5">
        <v>3.7</v>
      </c>
      <c r="W73" s="3">
        <v>5</v>
      </c>
      <c r="Y73" s="4"/>
      <c r="Z73" s="7"/>
      <c r="AA73" s="7"/>
      <c r="AB73" s="7"/>
      <c r="AC73" s="5"/>
      <c r="AD73" s="3">
        <v>5</v>
      </c>
      <c r="AF73" s="4"/>
      <c r="AG73" s="7"/>
      <c r="AH73" s="7"/>
      <c r="AI73" s="7"/>
      <c r="AJ73" s="5"/>
      <c r="AK73" s="3">
        <v>5</v>
      </c>
      <c r="AM73" s="4"/>
      <c r="AN73" s="7"/>
      <c r="AO73" s="7"/>
      <c r="AP73" s="7"/>
      <c r="AQ73" s="5"/>
      <c r="AR73" s="3">
        <v>5</v>
      </c>
      <c r="AT73" s="4"/>
      <c r="AU73" s="7"/>
      <c r="AV73" s="7"/>
      <c r="AW73" s="7"/>
      <c r="AX73" s="5"/>
      <c r="AY73" s="62">
        <v>5</v>
      </c>
    </row>
    <row r="74" spans="1:51" ht="19.5" thickBot="1" x14ac:dyDescent="0.45">
      <c r="A74" s="12">
        <f t="shared" si="20"/>
        <v>12</v>
      </c>
      <c r="B74" s="77">
        <f t="shared" si="19"/>
        <v>0</v>
      </c>
      <c r="C74" s="41">
        <f t="shared" si="21"/>
        <v>0</v>
      </c>
      <c r="D74" s="41">
        <f>D69</f>
        <v>0</v>
      </c>
      <c r="E74" s="41">
        <f>IF(AND(R74&lt;ηAC値Z,ηAC値Z&lt;=V74),1,0)</f>
        <v>0</v>
      </c>
      <c r="F74" s="160">
        <f t="shared" si="14"/>
        <v>0</v>
      </c>
      <c r="G74" s="161">
        <f t="shared" si="15"/>
        <v>0</v>
      </c>
      <c r="H74" s="161">
        <f t="shared" si="16"/>
        <v>0</v>
      </c>
      <c r="I74" s="161">
        <f t="shared" si="17"/>
        <v>0</v>
      </c>
      <c r="J74" s="162">
        <f t="shared" si="18"/>
        <v>0</v>
      </c>
      <c r="M74" s="463"/>
      <c r="N74" s="464"/>
      <c r="O74" s="464"/>
      <c r="P74" s="464"/>
      <c r="Q74" s="466"/>
      <c r="R74" s="75">
        <v>3.7</v>
      </c>
      <c r="S74" s="48" t="s">
        <v>46</v>
      </c>
      <c r="T74" s="48" t="s">
        <v>47</v>
      </c>
      <c r="U74" s="48" t="s">
        <v>42</v>
      </c>
      <c r="V74" s="67">
        <v>4.2</v>
      </c>
      <c r="W74" s="65">
        <v>5</v>
      </c>
      <c r="X74" s="46"/>
      <c r="Y74" s="75"/>
      <c r="Z74" s="48"/>
      <c r="AA74" s="48"/>
      <c r="AB74" s="48"/>
      <c r="AC74" s="67"/>
      <c r="AD74" s="65">
        <v>6</v>
      </c>
      <c r="AE74" s="46"/>
      <c r="AF74" s="75"/>
      <c r="AG74" s="48"/>
      <c r="AH74" s="48"/>
      <c r="AI74" s="48"/>
      <c r="AJ74" s="67"/>
      <c r="AK74" s="65">
        <v>6</v>
      </c>
      <c r="AL74" s="46"/>
      <c r="AM74" s="75"/>
      <c r="AN74" s="48"/>
      <c r="AO74" s="48"/>
      <c r="AP74" s="48"/>
      <c r="AQ74" s="67"/>
      <c r="AR74" s="65">
        <v>6</v>
      </c>
      <c r="AS74" s="46"/>
      <c r="AT74" s="75"/>
      <c r="AU74" s="48"/>
      <c r="AV74" s="48"/>
      <c r="AW74" s="48"/>
      <c r="AX74" s="67"/>
      <c r="AY74" s="66">
        <v>6</v>
      </c>
    </row>
    <row r="75" spans="1:51" x14ac:dyDescent="0.4">
      <c r="A75" s="12">
        <f t="shared" si="20"/>
        <v>13</v>
      </c>
      <c r="B75" s="77">
        <f t="shared" si="19"/>
        <v>0</v>
      </c>
      <c r="C75" s="41">
        <f t="shared" si="21"/>
        <v>0</v>
      </c>
      <c r="D75" s="40">
        <f>IF(AND(M75&lt;=UA値z,UA値z&lt;Q75),1,0)</f>
        <v>0</v>
      </c>
      <c r="E75" s="40">
        <f>IF(ηAC値Z&lt;=V75,1,0)</f>
        <v>0</v>
      </c>
      <c r="F75" s="154">
        <f t="shared" si="14"/>
        <v>0</v>
      </c>
      <c r="G75" s="155">
        <f t="shared" si="15"/>
        <v>0</v>
      </c>
      <c r="H75" s="155">
        <f t="shared" si="16"/>
        <v>0</v>
      </c>
      <c r="I75" s="155">
        <f t="shared" si="17"/>
        <v>0</v>
      </c>
      <c r="J75" s="156">
        <f t="shared" si="18"/>
        <v>0</v>
      </c>
      <c r="M75" s="456">
        <v>0.7</v>
      </c>
      <c r="N75" s="457" t="s">
        <v>42</v>
      </c>
      <c r="O75" s="457" t="s">
        <v>45</v>
      </c>
      <c r="P75" s="457" t="s">
        <v>46</v>
      </c>
      <c r="Q75" s="462">
        <v>0.75</v>
      </c>
      <c r="R75" s="13"/>
      <c r="S75" s="2"/>
      <c r="T75" s="2" t="s">
        <v>47</v>
      </c>
      <c r="U75" s="2" t="s">
        <v>42</v>
      </c>
      <c r="V75" s="43">
        <v>1.7</v>
      </c>
      <c r="W75" s="42">
        <v>2</v>
      </c>
      <c r="Y75" s="13"/>
      <c r="Z75" s="2"/>
      <c r="AA75" s="2"/>
      <c r="AB75" s="2"/>
      <c r="AC75" s="43"/>
      <c r="AD75" s="42">
        <v>3</v>
      </c>
      <c r="AF75" s="13"/>
      <c r="AG75" s="2"/>
      <c r="AH75" s="2"/>
      <c r="AI75" s="2"/>
      <c r="AJ75" s="43"/>
      <c r="AK75" s="42">
        <v>3</v>
      </c>
      <c r="AM75" s="13"/>
      <c r="AN75" s="2"/>
      <c r="AO75" s="2"/>
      <c r="AP75" s="2"/>
      <c r="AQ75" s="43"/>
      <c r="AR75" s="42">
        <v>3</v>
      </c>
      <c r="AT75" s="13"/>
      <c r="AU75" s="2"/>
      <c r="AV75" s="2"/>
      <c r="AW75" s="2"/>
      <c r="AX75" s="43"/>
      <c r="AY75" s="74">
        <v>3</v>
      </c>
    </row>
    <row r="76" spans="1:51" x14ac:dyDescent="0.4">
      <c r="A76" s="12">
        <f t="shared" si="20"/>
        <v>14</v>
      </c>
      <c r="B76" s="77">
        <f t="shared" si="19"/>
        <v>0</v>
      </c>
      <c r="C76" s="41">
        <f t="shared" si="21"/>
        <v>0</v>
      </c>
      <c r="D76" s="41">
        <f>D75</f>
        <v>0</v>
      </c>
      <c r="E76" s="41">
        <f>IF(AND(R76&lt;ηAC値Z,ηAC値Z&lt;=V76),1,0)</f>
        <v>1</v>
      </c>
      <c r="F76" s="157">
        <f t="shared" si="14"/>
        <v>3</v>
      </c>
      <c r="G76" s="158">
        <f t="shared" si="15"/>
        <v>3</v>
      </c>
      <c r="H76" s="158">
        <f t="shared" si="16"/>
        <v>3</v>
      </c>
      <c r="I76" s="158">
        <f t="shared" si="17"/>
        <v>3</v>
      </c>
      <c r="J76" s="159">
        <f t="shared" si="18"/>
        <v>3</v>
      </c>
      <c r="M76" s="456"/>
      <c r="N76" s="457"/>
      <c r="O76" s="457"/>
      <c r="P76" s="457"/>
      <c r="Q76" s="462"/>
      <c r="R76" s="4">
        <v>1.7</v>
      </c>
      <c r="S76" s="7" t="s">
        <v>46</v>
      </c>
      <c r="T76" s="7" t="s">
        <v>47</v>
      </c>
      <c r="U76" s="7" t="s">
        <v>42</v>
      </c>
      <c r="V76" s="5">
        <v>2.2000000000000002</v>
      </c>
      <c r="W76" s="3">
        <v>3</v>
      </c>
      <c r="Y76" s="4"/>
      <c r="Z76" s="7"/>
      <c r="AA76" s="7"/>
      <c r="AB76" s="7"/>
      <c r="AC76" s="5"/>
      <c r="AD76" s="3">
        <v>3</v>
      </c>
      <c r="AF76" s="4"/>
      <c r="AG76" s="7"/>
      <c r="AH76" s="7"/>
      <c r="AI76" s="7"/>
      <c r="AJ76" s="5"/>
      <c r="AK76" s="3">
        <v>3</v>
      </c>
      <c r="AM76" s="4"/>
      <c r="AN76" s="7"/>
      <c r="AO76" s="7"/>
      <c r="AP76" s="7"/>
      <c r="AQ76" s="5"/>
      <c r="AR76" s="3">
        <v>3</v>
      </c>
      <c r="AT76" s="4"/>
      <c r="AU76" s="7"/>
      <c r="AV76" s="7"/>
      <c r="AW76" s="7"/>
      <c r="AX76" s="5"/>
      <c r="AY76" s="62">
        <v>3</v>
      </c>
    </row>
    <row r="77" spans="1:51" x14ac:dyDescent="0.4">
      <c r="A77" s="12">
        <f t="shared" si="20"/>
        <v>15</v>
      </c>
      <c r="B77" s="77">
        <f t="shared" si="19"/>
        <v>0</v>
      </c>
      <c r="C77" s="41">
        <f t="shared" si="21"/>
        <v>0</v>
      </c>
      <c r="D77" s="41">
        <f>D75</f>
        <v>0</v>
      </c>
      <c r="E77" s="41">
        <f>IF(AND(R77&lt;ηAC値Z,ηAC値Z&lt;=V77),1,0)</f>
        <v>0</v>
      </c>
      <c r="F77" s="157">
        <f t="shared" si="14"/>
        <v>0</v>
      </c>
      <c r="G77" s="158">
        <f t="shared" si="15"/>
        <v>0</v>
      </c>
      <c r="H77" s="158">
        <f t="shared" si="16"/>
        <v>0</v>
      </c>
      <c r="I77" s="158">
        <f t="shared" si="17"/>
        <v>0</v>
      </c>
      <c r="J77" s="159">
        <f t="shared" si="18"/>
        <v>0</v>
      </c>
      <c r="M77" s="456"/>
      <c r="N77" s="457"/>
      <c r="O77" s="457"/>
      <c r="P77" s="457"/>
      <c r="Q77" s="462"/>
      <c r="R77" s="4">
        <v>2.2000000000000002</v>
      </c>
      <c r="S77" s="7" t="s">
        <v>46</v>
      </c>
      <c r="T77" s="7" t="s">
        <v>47</v>
      </c>
      <c r="U77" s="7" t="s">
        <v>42</v>
      </c>
      <c r="V77" s="5">
        <v>2.7</v>
      </c>
      <c r="W77" s="3">
        <v>3</v>
      </c>
      <c r="Y77" s="4"/>
      <c r="Z77" s="7"/>
      <c r="AA77" s="7"/>
      <c r="AB77" s="7"/>
      <c r="AC77" s="5"/>
      <c r="AD77" s="3">
        <v>4</v>
      </c>
      <c r="AF77" s="4"/>
      <c r="AG77" s="7"/>
      <c r="AH77" s="7"/>
      <c r="AI77" s="7"/>
      <c r="AJ77" s="5"/>
      <c r="AK77" s="3">
        <v>4</v>
      </c>
      <c r="AM77" s="4"/>
      <c r="AN77" s="7"/>
      <c r="AO77" s="7"/>
      <c r="AP77" s="7"/>
      <c r="AQ77" s="5"/>
      <c r="AR77" s="3">
        <v>4</v>
      </c>
      <c r="AT77" s="4"/>
      <c r="AU77" s="7"/>
      <c r="AV77" s="7"/>
      <c r="AW77" s="7"/>
      <c r="AX77" s="5"/>
      <c r="AY77" s="62">
        <v>4</v>
      </c>
    </row>
    <row r="78" spans="1:51" x14ac:dyDescent="0.4">
      <c r="A78" s="12">
        <f t="shared" si="20"/>
        <v>16</v>
      </c>
      <c r="B78" s="77">
        <f t="shared" si="19"/>
        <v>0</v>
      </c>
      <c r="C78" s="41">
        <f t="shared" si="21"/>
        <v>0</v>
      </c>
      <c r="D78" s="41">
        <f>D75</f>
        <v>0</v>
      </c>
      <c r="E78" s="41">
        <f>IF(AND(R78&lt;ηAC値Z,ηAC値Z&lt;=V78),1,0)</f>
        <v>0</v>
      </c>
      <c r="F78" s="157">
        <f t="shared" si="14"/>
        <v>0</v>
      </c>
      <c r="G78" s="158">
        <f t="shared" si="15"/>
        <v>0</v>
      </c>
      <c r="H78" s="158">
        <f t="shared" si="16"/>
        <v>0</v>
      </c>
      <c r="I78" s="158">
        <f t="shared" si="17"/>
        <v>0</v>
      </c>
      <c r="J78" s="159">
        <f t="shared" si="18"/>
        <v>0</v>
      </c>
      <c r="M78" s="456"/>
      <c r="N78" s="457"/>
      <c r="O78" s="457"/>
      <c r="P78" s="457"/>
      <c r="Q78" s="462"/>
      <c r="R78" s="4">
        <v>2.7</v>
      </c>
      <c r="S78" s="7" t="s">
        <v>46</v>
      </c>
      <c r="T78" s="7" t="s">
        <v>47</v>
      </c>
      <c r="U78" s="7" t="s">
        <v>42</v>
      </c>
      <c r="V78" s="5">
        <v>3.2</v>
      </c>
      <c r="W78" s="3">
        <v>4</v>
      </c>
      <c r="Y78" s="4"/>
      <c r="Z78" s="7"/>
      <c r="AA78" s="7"/>
      <c r="AB78" s="7"/>
      <c r="AC78" s="5"/>
      <c r="AD78" s="3">
        <v>4</v>
      </c>
      <c r="AF78" s="4"/>
      <c r="AG78" s="7"/>
      <c r="AH78" s="7"/>
      <c r="AI78" s="7"/>
      <c r="AJ78" s="5"/>
      <c r="AK78" s="3">
        <v>4</v>
      </c>
      <c r="AM78" s="4"/>
      <c r="AN78" s="7"/>
      <c r="AO78" s="7"/>
      <c r="AP78" s="7"/>
      <c r="AQ78" s="5"/>
      <c r="AR78" s="3">
        <v>4</v>
      </c>
      <c r="AT78" s="4"/>
      <c r="AU78" s="7"/>
      <c r="AV78" s="7"/>
      <c r="AW78" s="7"/>
      <c r="AX78" s="5"/>
      <c r="AY78" s="62">
        <v>4</v>
      </c>
    </row>
    <row r="79" spans="1:51" x14ac:dyDescent="0.4">
      <c r="A79" s="12">
        <f t="shared" si="20"/>
        <v>17</v>
      </c>
      <c r="B79" s="77">
        <f t="shared" si="19"/>
        <v>0</v>
      </c>
      <c r="C79" s="41">
        <f t="shared" si="21"/>
        <v>0</v>
      </c>
      <c r="D79" s="41">
        <f>D75</f>
        <v>0</v>
      </c>
      <c r="E79" s="41">
        <f>IF(AND(R79&lt;ηAC値Z,ηAC値Z&lt;=V79),1,0)</f>
        <v>0</v>
      </c>
      <c r="F79" s="157">
        <f t="shared" si="14"/>
        <v>0</v>
      </c>
      <c r="G79" s="158">
        <f t="shared" si="15"/>
        <v>0</v>
      </c>
      <c r="H79" s="158">
        <f t="shared" si="16"/>
        <v>0</v>
      </c>
      <c r="I79" s="158">
        <f t="shared" si="17"/>
        <v>0</v>
      </c>
      <c r="J79" s="159">
        <f t="shared" si="18"/>
        <v>0</v>
      </c>
      <c r="M79" s="456"/>
      <c r="N79" s="457"/>
      <c r="O79" s="457"/>
      <c r="P79" s="457"/>
      <c r="Q79" s="462"/>
      <c r="R79" s="4">
        <v>3.2</v>
      </c>
      <c r="S79" s="7" t="s">
        <v>46</v>
      </c>
      <c r="T79" s="7" t="s">
        <v>47</v>
      </c>
      <c r="U79" s="7" t="s">
        <v>42</v>
      </c>
      <c r="V79" s="5">
        <v>3.7</v>
      </c>
      <c r="W79" s="3">
        <v>4</v>
      </c>
      <c r="Y79" s="4"/>
      <c r="Z79" s="7"/>
      <c r="AA79" s="7"/>
      <c r="AB79" s="7"/>
      <c r="AC79" s="5"/>
      <c r="AD79" s="3">
        <v>5</v>
      </c>
      <c r="AF79" s="4"/>
      <c r="AG79" s="7"/>
      <c r="AH79" s="7"/>
      <c r="AI79" s="7"/>
      <c r="AJ79" s="5"/>
      <c r="AK79" s="3">
        <v>5</v>
      </c>
      <c r="AM79" s="4"/>
      <c r="AN79" s="7"/>
      <c r="AO79" s="7"/>
      <c r="AP79" s="7"/>
      <c r="AQ79" s="5"/>
      <c r="AR79" s="3">
        <v>5</v>
      </c>
      <c r="AT79" s="4"/>
      <c r="AU79" s="7"/>
      <c r="AV79" s="7"/>
      <c r="AW79" s="7"/>
      <c r="AX79" s="5"/>
      <c r="AY79" s="62">
        <v>5</v>
      </c>
    </row>
    <row r="80" spans="1:51" ht="19.5" thickBot="1" x14ac:dyDescent="0.45">
      <c r="A80" s="12">
        <f t="shared" si="20"/>
        <v>18</v>
      </c>
      <c r="B80" s="77">
        <f t="shared" si="19"/>
        <v>0</v>
      </c>
      <c r="C80" s="41">
        <f t="shared" si="21"/>
        <v>0</v>
      </c>
      <c r="D80" s="42">
        <f>D75</f>
        <v>0</v>
      </c>
      <c r="E80" s="41">
        <f>IF(AND(R80&lt;ηAC値Z,ηAC値Z&lt;=V80),1,0)</f>
        <v>0</v>
      </c>
      <c r="F80" s="160">
        <f t="shared" si="14"/>
        <v>0</v>
      </c>
      <c r="G80" s="161">
        <f t="shared" si="15"/>
        <v>0</v>
      </c>
      <c r="H80" s="161">
        <f t="shared" si="16"/>
        <v>0</v>
      </c>
      <c r="I80" s="161">
        <f t="shared" si="17"/>
        <v>0</v>
      </c>
      <c r="J80" s="162">
        <f t="shared" si="18"/>
        <v>0</v>
      </c>
      <c r="M80" s="456"/>
      <c r="N80" s="457"/>
      <c r="O80" s="457"/>
      <c r="P80" s="457"/>
      <c r="Q80" s="462"/>
      <c r="R80" s="38">
        <v>3.7</v>
      </c>
      <c r="S80" s="39" t="s">
        <v>46</v>
      </c>
      <c r="T80" s="39" t="s">
        <v>47</v>
      </c>
      <c r="U80" s="39" t="s">
        <v>42</v>
      </c>
      <c r="V80" s="37">
        <v>4.2</v>
      </c>
      <c r="W80" s="40">
        <v>5</v>
      </c>
      <c r="Y80" s="38"/>
      <c r="Z80" s="39"/>
      <c r="AA80" s="39"/>
      <c r="AB80" s="39"/>
      <c r="AC80" s="37"/>
      <c r="AD80" s="40">
        <v>5</v>
      </c>
      <c r="AF80" s="38"/>
      <c r="AG80" s="39"/>
      <c r="AH80" s="39"/>
      <c r="AI80" s="39"/>
      <c r="AJ80" s="37"/>
      <c r="AK80" s="40">
        <v>5</v>
      </c>
      <c r="AM80" s="38"/>
      <c r="AN80" s="39"/>
      <c r="AO80" s="39"/>
      <c r="AP80" s="39"/>
      <c r="AQ80" s="37"/>
      <c r="AR80" s="40">
        <v>5</v>
      </c>
      <c r="AT80" s="38"/>
      <c r="AU80" s="39"/>
      <c r="AV80" s="39"/>
      <c r="AW80" s="39"/>
      <c r="AX80" s="37"/>
      <c r="AY80" s="73">
        <v>5</v>
      </c>
    </row>
    <row r="81" spans="1:51" x14ac:dyDescent="0.4">
      <c r="A81" s="12">
        <f t="shared" si="20"/>
        <v>19</v>
      </c>
      <c r="B81" s="77">
        <f t="shared" si="19"/>
        <v>0</v>
      </c>
      <c r="C81" s="41">
        <f t="shared" si="21"/>
        <v>0</v>
      </c>
      <c r="D81" s="40">
        <f>IF(AND(M81&lt;=UA値z,UA値z&lt;Q81),1,0)</f>
        <v>0</v>
      </c>
      <c r="E81" s="40">
        <f>IF(ηAC値Z&lt;=V81,1,0)</f>
        <v>0</v>
      </c>
      <c r="F81" s="157">
        <f t="shared" si="14"/>
        <v>0</v>
      </c>
      <c r="G81" s="158">
        <f t="shared" si="15"/>
        <v>0</v>
      </c>
      <c r="H81" s="158">
        <f t="shared" si="16"/>
        <v>0</v>
      </c>
      <c r="I81" s="158">
        <f t="shared" si="17"/>
        <v>0</v>
      </c>
      <c r="J81" s="159">
        <f t="shared" si="18"/>
        <v>0</v>
      </c>
      <c r="M81" s="458">
        <v>0.75</v>
      </c>
      <c r="N81" s="459" t="s">
        <v>42</v>
      </c>
      <c r="O81" s="459" t="s">
        <v>45</v>
      </c>
      <c r="P81" s="459" t="s">
        <v>46</v>
      </c>
      <c r="Q81" s="465">
        <v>0.92</v>
      </c>
      <c r="R81" s="70"/>
      <c r="S81" s="47"/>
      <c r="T81" s="47" t="s">
        <v>47</v>
      </c>
      <c r="U81" s="47" t="s">
        <v>42</v>
      </c>
      <c r="V81" s="76">
        <v>1.7</v>
      </c>
      <c r="W81" s="59">
        <v>2</v>
      </c>
      <c r="X81" s="60"/>
      <c r="Y81" s="70"/>
      <c r="Z81" s="47"/>
      <c r="AA81" s="47"/>
      <c r="AB81" s="47"/>
      <c r="AC81" s="76"/>
      <c r="AD81" s="59">
        <v>3</v>
      </c>
      <c r="AE81" s="60"/>
      <c r="AF81" s="70"/>
      <c r="AG81" s="47"/>
      <c r="AH81" s="47"/>
      <c r="AI81" s="47"/>
      <c r="AJ81" s="76"/>
      <c r="AK81" s="59">
        <v>3</v>
      </c>
      <c r="AL81" s="60"/>
      <c r="AM81" s="70"/>
      <c r="AN81" s="47"/>
      <c r="AO81" s="47"/>
      <c r="AP81" s="47"/>
      <c r="AQ81" s="76"/>
      <c r="AR81" s="59">
        <v>3</v>
      </c>
      <c r="AS81" s="60"/>
      <c r="AT81" s="70"/>
      <c r="AU81" s="47"/>
      <c r="AV81" s="47"/>
      <c r="AW81" s="47"/>
      <c r="AX81" s="76"/>
      <c r="AY81" s="61">
        <v>3</v>
      </c>
    </row>
    <row r="82" spans="1:51" x14ac:dyDescent="0.4">
      <c r="A82" s="12">
        <f t="shared" si="20"/>
        <v>20</v>
      </c>
      <c r="B82" s="77">
        <f t="shared" si="19"/>
        <v>0</v>
      </c>
      <c r="C82" s="41">
        <f t="shared" si="21"/>
        <v>0</v>
      </c>
      <c r="D82" s="41">
        <f>D81</f>
        <v>0</v>
      </c>
      <c r="E82" s="41">
        <f>IF(AND(R82&lt;ηAC値Z,ηAC値Z&lt;=V82),1,0)</f>
        <v>1</v>
      </c>
      <c r="F82" s="157">
        <f t="shared" si="14"/>
        <v>3</v>
      </c>
      <c r="G82" s="158">
        <f t="shared" si="15"/>
        <v>3</v>
      </c>
      <c r="H82" s="158">
        <f t="shared" si="16"/>
        <v>3</v>
      </c>
      <c r="I82" s="158">
        <f t="shared" si="17"/>
        <v>3</v>
      </c>
      <c r="J82" s="159">
        <f t="shared" si="18"/>
        <v>3</v>
      </c>
      <c r="M82" s="456"/>
      <c r="N82" s="457"/>
      <c r="O82" s="457"/>
      <c r="P82" s="457"/>
      <c r="Q82" s="462"/>
      <c r="R82" s="4">
        <v>1.7</v>
      </c>
      <c r="S82" s="7" t="s">
        <v>46</v>
      </c>
      <c r="T82" s="7" t="s">
        <v>47</v>
      </c>
      <c r="U82" s="7" t="s">
        <v>42</v>
      </c>
      <c r="V82" s="5">
        <v>2.2000000000000002</v>
      </c>
      <c r="W82" s="3">
        <v>3</v>
      </c>
      <c r="Y82" s="4"/>
      <c r="Z82" s="7"/>
      <c r="AA82" s="7"/>
      <c r="AB82" s="7"/>
      <c r="AC82" s="5"/>
      <c r="AD82" s="3">
        <v>3</v>
      </c>
      <c r="AF82" s="4"/>
      <c r="AG82" s="7"/>
      <c r="AH82" s="7"/>
      <c r="AI82" s="7"/>
      <c r="AJ82" s="5"/>
      <c r="AK82" s="3">
        <v>3</v>
      </c>
      <c r="AM82" s="4"/>
      <c r="AN82" s="7"/>
      <c r="AO82" s="7"/>
      <c r="AP82" s="7"/>
      <c r="AQ82" s="5"/>
      <c r="AR82" s="3">
        <v>3</v>
      </c>
      <c r="AT82" s="4"/>
      <c r="AU82" s="7"/>
      <c r="AV82" s="7"/>
      <c r="AW82" s="7"/>
      <c r="AX82" s="5"/>
      <c r="AY82" s="62">
        <v>3</v>
      </c>
    </row>
    <row r="83" spans="1:51" x14ac:dyDescent="0.4">
      <c r="A83" s="12">
        <f t="shared" si="20"/>
        <v>21</v>
      </c>
      <c r="B83" s="77">
        <f t="shared" si="19"/>
        <v>0</v>
      </c>
      <c r="C83" s="41">
        <f t="shared" si="21"/>
        <v>0</v>
      </c>
      <c r="D83" s="41">
        <f>D81</f>
        <v>0</v>
      </c>
      <c r="E83" s="41">
        <f>IF(AND(R83&lt;ηAC値Z,ηAC値Z&lt;=V83),1,0)</f>
        <v>0</v>
      </c>
      <c r="F83" s="157">
        <f t="shared" si="14"/>
        <v>0</v>
      </c>
      <c r="G83" s="158">
        <f t="shared" si="15"/>
        <v>0</v>
      </c>
      <c r="H83" s="158">
        <f t="shared" si="16"/>
        <v>0</v>
      </c>
      <c r="I83" s="158">
        <f t="shared" si="17"/>
        <v>0</v>
      </c>
      <c r="J83" s="159">
        <f t="shared" si="18"/>
        <v>0</v>
      </c>
      <c r="M83" s="456"/>
      <c r="N83" s="457"/>
      <c r="O83" s="457"/>
      <c r="P83" s="457"/>
      <c r="Q83" s="462"/>
      <c r="R83" s="4">
        <v>2.2000000000000002</v>
      </c>
      <c r="S83" s="7" t="s">
        <v>46</v>
      </c>
      <c r="T83" s="7" t="s">
        <v>47</v>
      </c>
      <c r="U83" s="7" t="s">
        <v>42</v>
      </c>
      <c r="V83" s="5">
        <v>2.7</v>
      </c>
      <c r="W83" s="3">
        <v>3</v>
      </c>
      <c r="Y83" s="4"/>
      <c r="Z83" s="7"/>
      <c r="AA83" s="7"/>
      <c r="AB83" s="7"/>
      <c r="AC83" s="5"/>
      <c r="AD83" s="3">
        <v>3</v>
      </c>
      <c r="AF83" s="4"/>
      <c r="AG83" s="7"/>
      <c r="AH83" s="7"/>
      <c r="AI83" s="7"/>
      <c r="AJ83" s="5"/>
      <c r="AK83" s="3">
        <v>3</v>
      </c>
      <c r="AM83" s="4"/>
      <c r="AN83" s="7"/>
      <c r="AO83" s="7"/>
      <c r="AP83" s="7"/>
      <c r="AQ83" s="5"/>
      <c r="AR83" s="3">
        <v>3</v>
      </c>
      <c r="AT83" s="4"/>
      <c r="AU83" s="7"/>
      <c r="AV83" s="7"/>
      <c r="AW83" s="7"/>
      <c r="AX83" s="5"/>
      <c r="AY83" s="62">
        <v>3</v>
      </c>
    </row>
    <row r="84" spans="1:51" x14ac:dyDescent="0.4">
      <c r="A84" s="12">
        <f t="shared" si="20"/>
        <v>22</v>
      </c>
      <c r="B84" s="77">
        <f t="shared" si="19"/>
        <v>0</v>
      </c>
      <c r="C84" s="41">
        <f t="shared" si="21"/>
        <v>0</v>
      </c>
      <c r="D84" s="41">
        <f>D81</f>
        <v>0</v>
      </c>
      <c r="E84" s="41">
        <f>IF(AND(R84&lt;ηAC値Z,ηAC値Z&lt;=V84),1,0)</f>
        <v>0</v>
      </c>
      <c r="F84" s="157">
        <f t="shared" si="14"/>
        <v>0</v>
      </c>
      <c r="G84" s="158">
        <f t="shared" si="15"/>
        <v>0</v>
      </c>
      <c r="H84" s="158">
        <f t="shared" si="16"/>
        <v>0</v>
      </c>
      <c r="I84" s="158">
        <f t="shared" si="17"/>
        <v>0</v>
      </c>
      <c r="J84" s="159">
        <f t="shared" si="18"/>
        <v>0</v>
      </c>
      <c r="M84" s="456"/>
      <c r="N84" s="457"/>
      <c r="O84" s="457"/>
      <c r="P84" s="457"/>
      <c r="Q84" s="462"/>
      <c r="R84" s="4">
        <v>2.7</v>
      </c>
      <c r="S84" s="7" t="s">
        <v>46</v>
      </c>
      <c r="T84" s="7" t="s">
        <v>47</v>
      </c>
      <c r="U84" s="7" t="s">
        <v>42</v>
      </c>
      <c r="V84" s="5">
        <v>3.2</v>
      </c>
      <c r="W84" s="3">
        <v>4</v>
      </c>
      <c r="Y84" s="4"/>
      <c r="Z84" s="7"/>
      <c r="AA84" s="7"/>
      <c r="AB84" s="7"/>
      <c r="AC84" s="5"/>
      <c r="AD84" s="3">
        <v>4</v>
      </c>
      <c r="AF84" s="4"/>
      <c r="AG84" s="7"/>
      <c r="AH84" s="7"/>
      <c r="AI84" s="7"/>
      <c r="AJ84" s="5"/>
      <c r="AK84" s="3">
        <v>4</v>
      </c>
      <c r="AM84" s="4"/>
      <c r="AN84" s="7"/>
      <c r="AO84" s="7"/>
      <c r="AP84" s="7"/>
      <c r="AQ84" s="5"/>
      <c r="AR84" s="3">
        <v>4</v>
      </c>
      <c r="AT84" s="4"/>
      <c r="AU84" s="7"/>
      <c r="AV84" s="7"/>
      <c r="AW84" s="7"/>
      <c r="AX84" s="5"/>
      <c r="AY84" s="62">
        <v>4</v>
      </c>
    </row>
    <row r="85" spans="1:51" x14ac:dyDescent="0.4">
      <c r="A85" s="12">
        <f t="shared" si="20"/>
        <v>23</v>
      </c>
      <c r="B85" s="77">
        <f t="shared" si="19"/>
        <v>0</v>
      </c>
      <c r="C85" s="41">
        <f t="shared" si="21"/>
        <v>0</v>
      </c>
      <c r="D85" s="41">
        <f>D81</f>
        <v>0</v>
      </c>
      <c r="E85" s="41">
        <f>IF(AND(R85&lt;ηAC値Z,ηAC値Z&lt;=V85),1,0)</f>
        <v>0</v>
      </c>
      <c r="F85" s="157">
        <f t="shared" si="14"/>
        <v>0</v>
      </c>
      <c r="G85" s="158">
        <f t="shared" si="15"/>
        <v>0</v>
      </c>
      <c r="H85" s="158">
        <f t="shared" si="16"/>
        <v>0</v>
      </c>
      <c r="I85" s="158">
        <f t="shared" si="17"/>
        <v>0</v>
      </c>
      <c r="J85" s="159">
        <f t="shared" si="18"/>
        <v>0</v>
      </c>
      <c r="M85" s="456"/>
      <c r="N85" s="457"/>
      <c r="O85" s="457"/>
      <c r="P85" s="457"/>
      <c r="Q85" s="462"/>
      <c r="R85" s="4">
        <v>3.2</v>
      </c>
      <c r="S85" s="7" t="s">
        <v>46</v>
      </c>
      <c r="T85" s="7" t="s">
        <v>47</v>
      </c>
      <c r="U85" s="7" t="s">
        <v>42</v>
      </c>
      <c r="V85" s="5">
        <v>3.7</v>
      </c>
      <c r="W85" s="3">
        <v>4</v>
      </c>
      <c r="Y85" s="4"/>
      <c r="Z85" s="7"/>
      <c r="AA85" s="7"/>
      <c r="AB85" s="7"/>
      <c r="AC85" s="5"/>
      <c r="AD85" s="3">
        <v>5</v>
      </c>
      <c r="AF85" s="4"/>
      <c r="AG85" s="7"/>
      <c r="AH85" s="7"/>
      <c r="AI85" s="7"/>
      <c r="AJ85" s="5"/>
      <c r="AK85" s="3">
        <v>5</v>
      </c>
      <c r="AM85" s="4"/>
      <c r="AN85" s="7"/>
      <c r="AO85" s="7"/>
      <c r="AP85" s="7"/>
      <c r="AQ85" s="5"/>
      <c r="AR85" s="3">
        <v>5</v>
      </c>
      <c r="AT85" s="4"/>
      <c r="AU85" s="7"/>
      <c r="AV85" s="7"/>
      <c r="AW85" s="7"/>
      <c r="AX85" s="5"/>
      <c r="AY85" s="62">
        <v>5</v>
      </c>
    </row>
    <row r="86" spans="1:51" ht="19.5" thickBot="1" x14ac:dyDescent="0.45">
      <c r="A86" s="12">
        <f t="shared" si="20"/>
        <v>24</v>
      </c>
      <c r="B86" s="77">
        <f t="shared" si="19"/>
        <v>0</v>
      </c>
      <c r="C86" s="41">
        <f t="shared" si="21"/>
        <v>0</v>
      </c>
      <c r="D86" s="41">
        <f>D81</f>
        <v>0</v>
      </c>
      <c r="E86" s="41">
        <f>IF(AND(R86&lt;ηAC値Z,ηAC値Z&lt;=V86),1,0)</f>
        <v>0</v>
      </c>
      <c r="F86" s="157">
        <f t="shared" si="14"/>
        <v>0</v>
      </c>
      <c r="G86" s="158">
        <f t="shared" si="15"/>
        <v>0</v>
      </c>
      <c r="H86" s="158">
        <f t="shared" si="16"/>
        <v>0</v>
      </c>
      <c r="I86" s="158">
        <f t="shared" si="17"/>
        <v>0</v>
      </c>
      <c r="J86" s="159">
        <f t="shared" si="18"/>
        <v>0</v>
      </c>
      <c r="M86" s="463"/>
      <c r="N86" s="464"/>
      <c r="O86" s="464"/>
      <c r="P86" s="464"/>
      <c r="Q86" s="466"/>
      <c r="R86" s="75">
        <v>3.7</v>
      </c>
      <c r="S86" s="48" t="s">
        <v>46</v>
      </c>
      <c r="T86" s="48" t="s">
        <v>47</v>
      </c>
      <c r="U86" s="48" t="s">
        <v>42</v>
      </c>
      <c r="V86" s="67">
        <v>4.2</v>
      </c>
      <c r="W86" s="65">
        <v>5</v>
      </c>
      <c r="X86" s="46"/>
      <c r="Y86" s="75"/>
      <c r="Z86" s="48"/>
      <c r="AA86" s="48"/>
      <c r="AB86" s="48"/>
      <c r="AC86" s="67"/>
      <c r="AD86" s="65">
        <v>5</v>
      </c>
      <c r="AE86" s="46"/>
      <c r="AF86" s="75"/>
      <c r="AG86" s="48"/>
      <c r="AH86" s="48"/>
      <c r="AI86" s="48"/>
      <c r="AJ86" s="67"/>
      <c r="AK86" s="65">
        <v>5</v>
      </c>
      <c r="AL86" s="46"/>
      <c r="AM86" s="75"/>
      <c r="AN86" s="48"/>
      <c r="AO86" s="48"/>
      <c r="AP86" s="48"/>
      <c r="AQ86" s="67"/>
      <c r="AR86" s="65">
        <v>5</v>
      </c>
      <c r="AS86" s="46"/>
      <c r="AT86" s="75"/>
      <c r="AU86" s="48"/>
      <c r="AV86" s="48"/>
      <c r="AW86" s="48"/>
      <c r="AX86" s="67"/>
      <c r="AY86" s="66">
        <v>5</v>
      </c>
    </row>
    <row r="87" spans="1:51" x14ac:dyDescent="0.4">
      <c r="A87" s="12">
        <f t="shared" si="20"/>
        <v>25</v>
      </c>
      <c r="B87" s="77">
        <f t="shared" si="19"/>
        <v>0</v>
      </c>
      <c r="C87" s="41">
        <f t="shared" si="21"/>
        <v>0</v>
      </c>
      <c r="D87" s="40">
        <f>IF(AND(M87&lt;=UA値z,UA値z&lt;Q87),1,0)</f>
        <v>0</v>
      </c>
      <c r="E87" s="40">
        <f>IF(ηAC値Z&lt;=V87,1,0)</f>
        <v>0</v>
      </c>
      <c r="F87" s="154">
        <f t="shared" si="14"/>
        <v>0</v>
      </c>
      <c r="G87" s="155">
        <f t="shared" si="15"/>
        <v>0</v>
      </c>
      <c r="H87" s="155">
        <f t="shared" si="16"/>
        <v>0</v>
      </c>
      <c r="I87" s="155">
        <f t="shared" si="17"/>
        <v>0</v>
      </c>
      <c r="J87" s="156">
        <f t="shared" si="18"/>
        <v>0</v>
      </c>
      <c r="M87" s="456">
        <v>0.92</v>
      </c>
      <c r="N87" s="457" t="s">
        <v>42</v>
      </c>
      <c r="O87" s="457" t="s">
        <v>45</v>
      </c>
      <c r="P87" s="457" t="s">
        <v>46</v>
      </c>
      <c r="Q87" s="462">
        <v>1.0900000000000001</v>
      </c>
      <c r="R87" s="13"/>
      <c r="S87" s="2"/>
      <c r="T87" s="2" t="s">
        <v>47</v>
      </c>
      <c r="U87" s="2" t="s">
        <v>42</v>
      </c>
      <c r="V87" s="43">
        <v>1.7</v>
      </c>
      <c r="W87" s="42">
        <v>2</v>
      </c>
      <c r="Y87" s="13"/>
      <c r="Z87" s="2"/>
      <c r="AA87" s="2"/>
      <c r="AB87" s="2"/>
      <c r="AC87" s="43"/>
      <c r="AD87" s="42">
        <v>2</v>
      </c>
      <c r="AF87" s="13"/>
      <c r="AG87" s="2"/>
      <c r="AH87" s="2"/>
      <c r="AI87" s="2"/>
      <c r="AJ87" s="43"/>
      <c r="AK87" s="42">
        <v>2</v>
      </c>
      <c r="AM87" s="13"/>
      <c r="AN87" s="2"/>
      <c r="AO87" s="2"/>
      <c r="AP87" s="2"/>
      <c r="AQ87" s="43"/>
      <c r="AR87" s="42">
        <v>2</v>
      </c>
      <c r="AT87" s="13"/>
      <c r="AU87" s="2"/>
      <c r="AV87" s="2"/>
      <c r="AW87" s="2"/>
      <c r="AX87" s="43"/>
      <c r="AY87" s="74">
        <v>2</v>
      </c>
    </row>
    <row r="88" spans="1:51" x14ac:dyDescent="0.4">
      <c r="A88" s="12">
        <f t="shared" si="20"/>
        <v>26</v>
      </c>
      <c r="B88" s="77">
        <f t="shared" si="19"/>
        <v>0</v>
      </c>
      <c r="C88" s="41">
        <f t="shared" si="21"/>
        <v>0</v>
      </c>
      <c r="D88" s="41">
        <f>D87</f>
        <v>0</v>
      </c>
      <c r="E88" s="41">
        <f>IF(AND(R88&lt;ηAC値Z,ηAC値Z&lt;=V88),1,0)</f>
        <v>1</v>
      </c>
      <c r="F88" s="157">
        <f t="shared" si="14"/>
        <v>3</v>
      </c>
      <c r="G88" s="158">
        <f t="shared" si="15"/>
        <v>3</v>
      </c>
      <c r="H88" s="158">
        <f t="shared" si="16"/>
        <v>3</v>
      </c>
      <c r="I88" s="158">
        <f t="shared" si="17"/>
        <v>3</v>
      </c>
      <c r="J88" s="159">
        <f t="shared" si="18"/>
        <v>3</v>
      </c>
      <c r="M88" s="456"/>
      <c r="N88" s="457"/>
      <c r="O88" s="457"/>
      <c r="P88" s="457"/>
      <c r="Q88" s="462"/>
      <c r="R88" s="4">
        <v>1.7</v>
      </c>
      <c r="S88" s="7" t="s">
        <v>46</v>
      </c>
      <c r="T88" s="7" t="s">
        <v>47</v>
      </c>
      <c r="U88" s="7" t="s">
        <v>42</v>
      </c>
      <c r="V88" s="5">
        <v>2.2000000000000002</v>
      </c>
      <c r="W88" s="3">
        <v>3</v>
      </c>
      <c r="Y88" s="4"/>
      <c r="Z88" s="7"/>
      <c r="AA88" s="7"/>
      <c r="AB88" s="7"/>
      <c r="AC88" s="5"/>
      <c r="AD88" s="3">
        <v>3</v>
      </c>
      <c r="AF88" s="4"/>
      <c r="AG88" s="7"/>
      <c r="AH88" s="7"/>
      <c r="AI88" s="7"/>
      <c r="AJ88" s="5"/>
      <c r="AK88" s="3">
        <v>3</v>
      </c>
      <c r="AM88" s="4"/>
      <c r="AN88" s="7"/>
      <c r="AO88" s="7"/>
      <c r="AP88" s="7"/>
      <c r="AQ88" s="5"/>
      <c r="AR88" s="3">
        <v>3</v>
      </c>
      <c r="AT88" s="4"/>
      <c r="AU88" s="7"/>
      <c r="AV88" s="7"/>
      <c r="AW88" s="7"/>
      <c r="AX88" s="5"/>
      <c r="AY88" s="62">
        <v>3</v>
      </c>
    </row>
    <row r="89" spans="1:51" x14ac:dyDescent="0.4">
      <c r="A89" s="12">
        <f t="shared" si="20"/>
        <v>27</v>
      </c>
      <c r="B89" s="77">
        <f t="shared" si="19"/>
        <v>0</v>
      </c>
      <c r="C89" s="41">
        <f t="shared" si="21"/>
        <v>0</v>
      </c>
      <c r="D89" s="41">
        <f>D87</f>
        <v>0</v>
      </c>
      <c r="E89" s="41">
        <f>IF(AND(R89&lt;ηAC値Z,ηAC値Z&lt;=V89),1,0)</f>
        <v>0</v>
      </c>
      <c r="F89" s="157">
        <f t="shared" si="14"/>
        <v>0</v>
      </c>
      <c r="G89" s="158">
        <f t="shared" si="15"/>
        <v>0</v>
      </c>
      <c r="H89" s="158">
        <f t="shared" si="16"/>
        <v>0</v>
      </c>
      <c r="I89" s="158">
        <f t="shared" si="17"/>
        <v>0</v>
      </c>
      <c r="J89" s="159">
        <f t="shared" si="18"/>
        <v>0</v>
      </c>
      <c r="M89" s="456"/>
      <c r="N89" s="457"/>
      <c r="O89" s="457"/>
      <c r="P89" s="457"/>
      <c r="Q89" s="462"/>
      <c r="R89" s="4">
        <v>2.2000000000000002</v>
      </c>
      <c r="S89" s="7" t="s">
        <v>46</v>
      </c>
      <c r="T89" s="7" t="s">
        <v>47</v>
      </c>
      <c r="U89" s="7" t="s">
        <v>42</v>
      </c>
      <c r="V89" s="5">
        <v>2.7</v>
      </c>
      <c r="W89" s="3">
        <v>3</v>
      </c>
      <c r="Y89" s="4"/>
      <c r="Z89" s="7"/>
      <c r="AA89" s="7"/>
      <c r="AB89" s="7"/>
      <c r="AC89" s="5"/>
      <c r="AD89" s="3">
        <v>3</v>
      </c>
      <c r="AF89" s="4"/>
      <c r="AG89" s="7"/>
      <c r="AH89" s="7"/>
      <c r="AI89" s="7"/>
      <c r="AJ89" s="5"/>
      <c r="AK89" s="3">
        <v>3</v>
      </c>
      <c r="AM89" s="4"/>
      <c r="AN89" s="7"/>
      <c r="AO89" s="7"/>
      <c r="AP89" s="7"/>
      <c r="AQ89" s="5"/>
      <c r="AR89" s="3">
        <v>3</v>
      </c>
      <c r="AT89" s="4"/>
      <c r="AU89" s="7"/>
      <c r="AV89" s="7"/>
      <c r="AW89" s="7"/>
      <c r="AX89" s="5"/>
      <c r="AY89" s="62">
        <v>3</v>
      </c>
    </row>
    <row r="90" spans="1:51" x14ac:dyDescent="0.4">
      <c r="A90" s="12">
        <f t="shared" si="20"/>
        <v>28</v>
      </c>
      <c r="B90" s="77">
        <f t="shared" si="19"/>
        <v>0</v>
      </c>
      <c r="C90" s="41">
        <f t="shared" si="21"/>
        <v>0</v>
      </c>
      <c r="D90" s="41">
        <f>D87</f>
        <v>0</v>
      </c>
      <c r="E90" s="41">
        <f>IF(AND(R90&lt;ηAC値Z,ηAC値Z&lt;=V90),1,0)</f>
        <v>0</v>
      </c>
      <c r="F90" s="157">
        <f t="shared" si="14"/>
        <v>0</v>
      </c>
      <c r="G90" s="158">
        <f t="shared" si="15"/>
        <v>0</v>
      </c>
      <c r="H90" s="158">
        <f t="shared" si="16"/>
        <v>0</v>
      </c>
      <c r="I90" s="158">
        <f t="shared" si="17"/>
        <v>0</v>
      </c>
      <c r="J90" s="159">
        <f t="shared" si="18"/>
        <v>0</v>
      </c>
      <c r="M90" s="456"/>
      <c r="N90" s="457"/>
      <c r="O90" s="457"/>
      <c r="P90" s="457"/>
      <c r="Q90" s="462"/>
      <c r="R90" s="4">
        <v>2.7</v>
      </c>
      <c r="S90" s="7" t="s">
        <v>46</v>
      </c>
      <c r="T90" s="7" t="s">
        <v>47</v>
      </c>
      <c r="U90" s="7" t="s">
        <v>42</v>
      </c>
      <c r="V90" s="5">
        <v>3.2</v>
      </c>
      <c r="W90" s="3">
        <v>3</v>
      </c>
      <c r="Y90" s="4"/>
      <c r="Z90" s="7"/>
      <c r="AA90" s="7"/>
      <c r="AB90" s="7"/>
      <c r="AC90" s="5"/>
      <c r="AD90" s="3">
        <v>4</v>
      </c>
      <c r="AF90" s="4"/>
      <c r="AG90" s="7"/>
      <c r="AH90" s="7"/>
      <c r="AI90" s="7"/>
      <c r="AJ90" s="5"/>
      <c r="AK90" s="3">
        <v>4</v>
      </c>
      <c r="AM90" s="4"/>
      <c r="AN90" s="7"/>
      <c r="AO90" s="7"/>
      <c r="AP90" s="7"/>
      <c r="AQ90" s="5"/>
      <c r="AR90" s="3">
        <v>4</v>
      </c>
      <c r="AT90" s="4"/>
      <c r="AU90" s="7"/>
      <c r="AV90" s="7"/>
      <c r="AW90" s="7"/>
      <c r="AX90" s="5"/>
      <c r="AY90" s="62">
        <v>4</v>
      </c>
    </row>
    <row r="91" spans="1:51" x14ac:dyDescent="0.4">
      <c r="A91" s="12">
        <f t="shared" si="20"/>
        <v>29</v>
      </c>
      <c r="B91" s="77">
        <f t="shared" si="19"/>
        <v>0</v>
      </c>
      <c r="C91" s="41">
        <f t="shared" si="21"/>
        <v>0</v>
      </c>
      <c r="D91" s="41">
        <f>D87</f>
        <v>0</v>
      </c>
      <c r="E91" s="41">
        <f>IF(AND(R91&lt;ηAC値Z,ηAC値Z&lt;=V91),1,0)</f>
        <v>0</v>
      </c>
      <c r="F91" s="157">
        <f t="shared" si="14"/>
        <v>0</v>
      </c>
      <c r="G91" s="158">
        <f t="shared" si="15"/>
        <v>0</v>
      </c>
      <c r="H91" s="158">
        <f t="shared" si="16"/>
        <v>0</v>
      </c>
      <c r="I91" s="158">
        <f t="shared" si="17"/>
        <v>0</v>
      </c>
      <c r="J91" s="159">
        <f t="shared" si="18"/>
        <v>0</v>
      </c>
      <c r="M91" s="456"/>
      <c r="N91" s="457"/>
      <c r="O91" s="457"/>
      <c r="P91" s="457"/>
      <c r="Q91" s="462"/>
      <c r="R91" s="4">
        <v>3.2</v>
      </c>
      <c r="S91" s="7" t="s">
        <v>46</v>
      </c>
      <c r="T91" s="7" t="s">
        <v>47</v>
      </c>
      <c r="U91" s="7" t="s">
        <v>42</v>
      </c>
      <c r="V91" s="5">
        <v>3.7</v>
      </c>
      <c r="W91" s="3">
        <v>4</v>
      </c>
      <c r="Y91" s="4"/>
      <c r="Z91" s="7"/>
      <c r="AA91" s="7"/>
      <c r="AB91" s="7"/>
      <c r="AC91" s="5"/>
      <c r="AD91" s="3">
        <v>4</v>
      </c>
      <c r="AF91" s="4"/>
      <c r="AG91" s="7"/>
      <c r="AH91" s="7"/>
      <c r="AI91" s="7"/>
      <c r="AJ91" s="5"/>
      <c r="AK91" s="3">
        <v>4</v>
      </c>
      <c r="AM91" s="4"/>
      <c r="AN91" s="7"/>
      <c r="AO91" s="7"/>
      <c r="AP91" s="7"/>
      <c r="AQ91" s="5"/>
      <c r="AR91" s="3">
        <v>4</v>
      </c>
      <c r="AT91" s="4"/>
      <c r="AU91" s="7"/>
      <c r="AV91" s="7"/>
      <c r="AW91" s="7"/>
      <c r="AX91" s="5"/>
      <c r="AY91" s="62">
        <v>4</v>
      </c>
    </row>
    <row r="92" spans="1:51" ht="19.5" thickBot="1" x14ac:dyDescent="0.45">
      <c r="A92" s="12">
        <f t="shared" si="20"/>
        <v>30</v>
      </c>
      <c r="B92" s="77">
        <f t="shared" si="19"/>
        <v>0</v>
      </c>
      <c r="C92" s="41">
        <f t="shared" si="21"/>
        <v>0</v>
      </c>
      <c r="D92" s="42">
        <f>D87</f>
        <v>0</v>
      </c>
      <c r="E92" s="41">
        <f>IF(AND(R92&lt;ηAC値Z,ηAC値Z&lt;=V92),1,0)</f>
        <v>0</v>
      </c>
      <c r="F92" s="160">
        <f t="shared" si="14"/>
        <v>0</v>
      </c>
      <c r="G92" s="161">
        <f t="shared" si="15"/>
        <v>0</v>
      </c>
      <c r="H92" s="161">
        <f t="shared" si="16"/>
        <v>0</v>
      </c>
      <c r="I92" s="161">
        <f t="shared" si="17"/>
        <v>0</v>
      </c>
      <c r="J92" s="162">
        <f t="shared" si="18"/>
        <v>0</v>
      </c>
      <c r="M92" s="456"/>
      <c r="N92" s="457"/>
      <c r="O92" s="457"/>
      <c r="P92" s="457"/>
      <c r="Q92" s="462"/>
      <c r="R92" s="38">
        <v>3.7</v>
      </c>
      <c r="S92" s="39" t="s">
        <v>46</v>
      </c>
      <c r="T92" s="39" t="s">
        <v>47</v>
      </c>
      <c r="U92" s="39" t="s">
        <v>42</v>
      </c>
      <c r="V92" s="37">
        <v>4.2</v>
      </c>
      <c r="W92" s="40">
        <v>4</v>
      </c>
      <c r="Y92" s="38"/>
      <c r="Z92" s="39"/>
      <c r="AA92" s="39"/>
      <c r="AB92" s="39"/>
      <c r="AC92" s="37"/>
      <c r="AD92" s="40">
        <v>5</v>
      </c>
      <c r="AF92" s="38"/>
      <c r="AG92" s="39"/>
      <c r="AH92" s="39"/>
      <c r="AI92" s="39"/>
      <c r="AJ92" s="37"/>
      <c r="AK92" s="40">
        <v>5</v>
      </c>
      <c r="AM92" s="38"/>
      <c r="AN92" s="39"/>
      <c r="AO92" s="39"/>
      <c r="AP92" s="39"/>
      <c r="AQ92" s="37"/>
      <c r="AR92" s="40">
        <v>5</v>
      </c>
      <c r="AT92" s="38"/>
      <c r="AU92" s="39"/>
      <c r="AV92" s="39"/>
      <c r="AW92" s="39"/>
      <c r="AX92" s="37"/>
      <c r="AY92" s="73">
        <v>5</v>
      </c>
    </row>
    <row r="93" spans="1:51" x14ac:dyDescent="0.4">
      <c r="A93" s="12">
        <f t="shared" si="20"/>
        <v>31</v>
      </c>
      <c r="B93" s="77">
        <f t="shared" si="19"/>
        <v>0</v>
      </c>
      <c r="C93" s="41">
        <f t="shared" si="21"/>
        <v>0</v>
      </c>
      <c r="D93" s="40">
        <f>IF(M93&lt;=UA値z,1,0)</f>
        <v>0</v>
      </c>
      <c r="E93" s="40">
        <f>IF(ηAC値Z&lt;=V93,1,0)</f>
        <v>0</v>
      </c>
      <c r="F93" s="154">
        <f t="shared" si="14"/>
        <v>0</v>
      </c>
      <c r="G93" s="155">
        <f t="shared" si="15"/>
        <v>0</v>
      </c>
      <c r="H93" s="155">
        <f t="shared" si="16"/>
        <v>0</v>
      </c>
      <c r="I93" s="155">
        <f t="shared" si="17"/>
        <v>0</v>
      </c>
      <c r="J93" s="156">
        <f t="shared" si="18"/>
        <v>0</v>
      </c>
      <c r="M93" s="458">
        <v>1.0900000000000001</v>
      </c>
      <c r="N93" s="459" t="s">
        <v>42</v>
      </c>
      <c r="O93" s="459" t="s">
        <v>45</v>
      </c>
      <c r="P93" s="459"/>
      <c r="Q93" s="465"/>
      <c r="R93" s="70"/>
      <c r="S93" s="47"/>
      <c r="T93" s="47" t="s">
        <v>47</v>
      </c>
      <c r="U93" s="47" t="s">
        <v>42</v>
      </c>
      <c r="V93" s="76">
        <v>1.7</v>
      </c>
      <c r="W93" s="59">
        <v>2</v>
      </c>
      <c r="X93" s="60"/>
      <c r="Y93" s="70"/>
      <c r="Z93" s="47"/>
      <c r="AA93" s="47"/>
      <c r="AB93" s="47"/>
      <c r="AC93" s="76"/>
      <c r="AD93" s="59">
        <v>2</v>
      </c>
      <c r="AE93" s="60"/>
      <c r="AF93" s="70"/>
      <c r="AG93" s="47"/>
      <c r="AH93" s="47"/>
      <c r="AI93" s="47"/>
      <c r="AJ93" s="76"/>
      <c r="AK93" s="59">
        <v>2</v>
      </c>
      <c r="AL93" s="60"/>
      <c r="AM93" s="70"/>
      <c r="AN93" s="47"/>
      <c r="AO93" s="47"/>
      <c r="AP93" s="47"/>
      <c r="AQ93" s="76"/>
      <c r="AR93" s="59">
        <v>2</v>
      </c>
      <c r="AS93" s="60"/>
      <c r="AT93" s="70"/>
      <c r="AU93" s="47"/>
      <c r="AV93" s="47"/>
      <c r="AW93" s="47"/>
      <c r="AX93" s="76"/>
      <c r="AY93" s="61">
        <v>2</v>
      </c>
    </row>
    <row r="94" spans="1:51" x14ac:dyDescent="0.4">
      <c r="A94" s="12">
        <f t="shared" si="20"/>
        <v>32</v>
      </c>
      <c r="B94" s="77">
        <f t="shared" si="19"/>
        <v>0</v>
      </c>
      <c r="C94" s="41">
        <f t="shared" si="21"/>
        <v>0</v>
      </c>
      <c r="D94" s="41">
        <f>D93</f>
        <v>0</v>
      </c>
      <c r="E94" s="41">
        <f>IF(AND(R94&lt;ηAC値Z,ηAC値Z&lt;=V94),1,0)</f>
        <v>1</v>
      </c>
      <c r="F94" s="157">
        <f t="shared" si="14"/>
        <v>2</v>
      </c>
      <c r="G94" s="158">
        <f t="shared" si="15"/>
        <v>3</v>
      </c>
      <c r="H94" s="158">
        <f t="shared" si="16"/>
        <v>3</v>
      </c>
      <c r="I94" s="158">
        <f t="shared" si="17"/>
        <v>3</v>
      </c>
      <c r="J94" s="159">
        <f t="shared" si="18"/>
        <v>3</v>
      </c>
      <c r="M94" s="456"/>
      <c r="N94" s="457"/>
      <c r="O94" s="457"/>
      <c r="P94" s="457"/>
      <c r="Q94" s="462"/>
      <c r="R94" s="4">
        <v>1.7</v>
      </c>
      <c r="S94" s="7" t="s">
        <v>46</v>
      </c>
      <c r="T94" s="7" t="s">
        <v>47</v>
      </c>
      <c r="U94" s="7" t="s">
        <v>42</v>
      </c>
      <c r="V94" s="5">
        <v>2.2000000000000002</v>
      </c>
      <c r="W94" s="3">
        <v>2</v>
      </c>
      <c r="Y94" s="4"/>
      <c r="Z94" s="7"/>
      <c r="AA94" s="7"/>
      <c r="AB94" s="7"/>
      <c r="AC94" s="5"/>
      <c r="AD94" s="3">
        <v>3</v>
      </c>
      <c r="AF94" s="4"/>
      <c r="AG94" s="7"/>
      <c r="AH94" s="7"/>
      <c r="AI94" s="7"/>
      <c r="AJ94" s="5"/>
      <c r="AK94" s="3">
        <v>3</v>
      </c>
      <c r="AM94" s="4"/>
      <c r="AN94" s="7"/>
      <c r="AO94" s="7"/>
      <c r="AP94" s="7"/>
      <c r="AQ94" s="5"/>
      <c r="AR94" s="3">
        <v>3</v>
      </c>
      <c r="AT94" s="4"/>
      <c r="AU94" s="7"/>
      <c r="AV94" s="7"/>
      <c r="AW94" s="7"/>
      <c r="AX94" s="5"/>
      <c r="AY94" s="62">
        <v>3</v>
      </c>
    </row>
    <row r="95" spans="1:51" x14ac:dyDescent="0.4">
      <c r="A95" s="12">
        <f t="shared" si="20"/>
        <v>33</v>
      </c>
      <c r="B95" s="77">
        <f t="shared" si="19"/>
        <v>0</v>
      </c>
      <c r="C95" s="41">
        <f t="shared" si="21"/>
        <v>0</v>
      </c>
      <c r="D95" s="41">
        <f>D93</f>
        <v>0</v>
      </c>
      <c r="E95" s="41">
        <f>IF(AND(R95&lt;ηAC値Z,ηAC値Z&lt;=V95),1,0)</f>
        <v>0</v>
      </c>
      <c r="F95" s="157">
        <f t="shared" si="14"/>
        <v>0</v>
      </c>
      <c r="G95" s="158">
        <f t="shared" si="15"/>
        <v>0</v>
      </c>
      <c r="H95" s="158">
        <f t="shared" si="16"/>
        <v>0</v>
      </c>
      <c r="I95" s="158">
        <f t="shared" si="17"/>
        <v>0</v>
      </c>
      <c r="J95" s="159">
        <f t="shared" si="18"/>
        <v>0</v>
      </c>
      <c r="M95" s="456"/>
      <c r="N95" s="457"/>
      <c r="O95" s="457"/>
      <c r="P95" s="457"/>
      <c r="Q95" s="462"/>
      <c r="R95" s="4">
        <v>2.2000000000000002</v>
      </c>
      <c r="S95" s="7" t="s">
        <v>46</v>
      </c>
      <c r="T95" s="7" t="s">
        <v>47</v>
      </c>
      <c r="U95" s="7" t="s">
        <v>42</v>
      </c>
      <c r="V95" s="5">
        <v>2.7</v>
      </c>
      <c r="W95" s="3">
        <v>3</v>
      </c>
      <c r="Y95" s="4"/>
      <c r="Z95" s="7"/>
      <c r="AA95" s="7"/>
      <c r="AB95" s="7"/>
      <c r="AC95" s="5"/>
      <c r="AD95" s="3">
        <v>3</v>
      </c>
      <c r="AF95" s="4"/>
      <c r="AG95" s="7"/>
      <c r="AH95" s="7"/>
      <c r="AI95" s="7"/>
      <c r="AJ95" s="5"/>
      <c r="AK95" s="3">
        <v>3</v>
      </c>
      <c r="AM95" s="4"/>
      <c r="AN95" s="7"/>
      <c r="AO95" s="7"/>
      <c r="AP95" s="7"/>
      <c r="AQ95" s="5"/>
      <c r="AR95" s="3">
        <v>3</v>
      </c>
      <c r="AT95" s="4"/>
      <c r="AU95" s="7"/>
      <c r="AV95" s="7"/>
      <c r="AW95" s="7"/>
      <c r="AX95" s="5"/>
      <c r="AY95" s="62">
        <v>3</v>
      </c>
    </row>
    <row r="96" spans="1:51" x14ac:dyDescent="0.4">
      <c r="A96" s="12">
        <f t="shared" si="20"/>
        <v>34</v>
      </c>
      <c r="B96" s="77">
        <f t="shared" si="19"/>
        <v>0</v>
      </c>
      <c r="C96" s="41">
        <f t="shared" si="21"/>
        <v>0</v>
      </c>
      <c r="D96" s="41">
        <f>D93</f>
        <v>0</v>
      </c>
      <c r="E96" s="41">
        <f>IF(AND(R96&lt;ηAC値Z,ηAC値Z&lt;=V96),1,0)</f>
        <v>0</v>
      </c>
      <c r="F96" s="157">
        <f t="shared" si="14"/>
        <v>0</v>
      </c>
      <c r="G96" s="158">
        <f t="shared" si="15"/>
        <v>0</v>
      </c>
      <c r="H96" s="158">
        <f t="shared" si="16"/>
        <v>0</v>
      </c>
      <c r="I96" s="158">
        <f t="shared" si="17"/>
        <v>0</v>
      </c>
      <c r="J96" s="159">
        <f t="shared" si="18"/>
        <v>0</v>
      </c>
      <c r="M96" s="456"/>
      <c r="N96" s="457"/>
      <c r="O96" s="457"/>
      <c r="P96" s="457"/>
      <c r="Q96" s="462"/>
      <c r="R96" s="4">
        <v>2.7</v>
      </c>
      <c r="S96" s="7" t="s">
        <v>46</v>
      </c>
      <c r="T96" s="7" t="s">
        <v>47</v>
      </c>
      <c r="U96" s="7" t="s">
        <v>42</v>
      </c>
      <c r="V96" s="5">
        <v>3.2</v>
      </c>
      <c r="W96" s="3">
        <v>3</v>
      </c>
      <c r="Y96" s="4"/>
      <c r="Z96" s="7"/>
      <c r="AA96" s="7"/>
      <c r="AB96" s="7"/>
      <c r="AC96" s="5"/>
      <c r="AD96" s="3">
        <v>3</v>
      </c>
      <c r="AF96" s="4"/>
      <c r="AG96" s="7"/>
      <c r="AH96" s="7"/>
      <c r="AI96" s="7"/>
      <c r="AJ96" s="5"/>
      <c r="AK96" s="3">
        <v>3</v>
      </c>
      <c r="AM96" s="4"/>
      <c r="AN96" s="7"/>
      <c r="AO96" s="7"/>
      <c r="AP96" s="7"/>
      <c r="AQ96" s="5"/>
      <c r="AR96" s="3">
        <v>3</v>
      </c>
      <c r="AT96" s="4"/>
      <c r="AU96" s="7"/>
      <c r="AV96" s="7"/>
      <c r="AW96" s="7"/>
      <c r="AX96" s="5"/>
      <c r="AY96" s="62">
        <v>3</v>
      </c>
    </row>
    <row r="97" spans="1:51" x14ac:dyDescent="0.4">
      <c r="A97" s="12">
        <f t="shared" si="20"/>
        <v>35</v>
      </c>
      <c r="B97" s="77">
        <f t="shared" si="19"/>
        <v>0</v>
      </c>
      <c r="C97" s="41">
        <f t="shared" si="21"/>
        <v>0</v>
      </c>
      <c r="D97" s="41">
        <f>D93</f>
        <v>0</v>
      </c>
      <c r="E97" s="41">
        <f>IF(AND(R97&lt;ηAC値Z,ηAC値Z&lt;=V97),1,0)</f>
        <v>0</v>
      </c>
      <c r="F97" s="157">
        <f t="shared" si="14"/>
        <v>0</v>
      </c>
      <c r="G97" s="158">
        <f t="shared" si="15"/>
        <v>0</v>
      </c>
      <c r="H97" s="158">
        <f t="shared" si="16"/>
        <v>0</v>
      </c>
      <c r="I97" s="158">
        <f t="shared" si="17"/>
        <v>0</v>
      </c>
      <c r="J97" s="159">
        <f t="shared" si="18"/>
        <v>0</v>
      </c>
      <c r="M97" s="456"/>
      <c r="N97" s="457"/>
      <c r="O97" s="457"/>
      <c r="P97" s="457"/>
      <c r="Q97" s="462"/>
      <c r="R97" s="4">
        <v>3.2</v>
      </c>
      <c r="S97" s="7" t="s">
        <v>46</v>
      </c>
      <c r="T97" s="7" t="s">
        <v>47</v>
      </c>
      <c r="U97" s="7" t="s">
        <v>42</v>
      </c>
      <c r="V97" s="5">
        <v>3.7</v>
      </c>
      <c r="W97" s="3">
        <v>3</v>
      </c>
      <c r="Y97" s="4"/>
      <c r="Z97" s="7"/>
      <c r="AA97" s="7"/>
      <c r="AB97" s="7"/>
      <c r="AC97" s="5"/>
      <c r="AD97" s="3">
        <v>4</v>
      </c>
      <c r="AF97" s="4"/>
      <c r="AG97" s="7"/>
      <c r="AH97" s="7"/>
      <c r="AI97" s="7"/>
      <c r="AJ97" s="5"/>
      <c r="AK97" s="3">
        <v>4</v>
      </c>
      <c r="AM97" s="4"/>
      <c r="AN97" s="7"/>
      <c r="AO97" s="7"/>
      <c r="AP97" s="7"/>
      <c r="AQ97" s="5"/>
      <c r="AR97" s="3">
        <v>4</v>
      </c>
      <c r="AT97" s="4"/>
      <c r="AU97" s="7"/>
      <c r="AV97" s="7"/>
      <c r="AW97" s="7"/>
      <c r="AX97" s="5"/>
      <c r="AY97" s="62">
        <v>4</v>
      </c>
    </row>
    <row r="98" spans="1:51" ht="19.5" thickBot="1" x14ac:dyDescent="0.45">
      <c r="A98" s="12">
        <f t="shared" si="20"/>
        <v>36</v>
      </c>
      <c r="B98" s="77">
        <f t="shared" si="19"/>
        <v>0</v>
      </c>
      <c r="C98" s="42">
        <f t="shared" si="21"/>
        <v>0</v>
      </c>
      <c r="D98" s="42">
        <f>D93</f>
        <v>0</v>
      </c>
      <c r="E98" s="42">
        <f>IF(AND(R98&lt;ηAC値Z,ηAC値Z&lt;=V98),1,0)</f>
        <v>0</v>
      </c>
      <c r="F98" s="160">
        <f t="shared" si="14"/>
        <v>0</v>
      </c>
      <c r="G98" s="161">
        <f t="shared" si="15"/>
        <v>0</v>
      </c>
      <c r="H98" s="161">
        <f t="shared" si="16"/>
        <v>0</v>
      </c>
      <c r="I98" s="161">
        <f t="shared" si="17"/>
        <v>0</v>
      </c>
      <c r="J98" s="162">
        <f t="shared" si="18"/>
        <v>0</v>
      </c>
      <c r="M98" s="463"/>
      <c r="N98" s="464"/>
      <c r="O98" s="464"/>
      <c r="P98" s="464"/>
      <c r="Q98" s="466"/>
      <c r="R98" s="75">
        <v>3.7</v>
      </c>
      <c r="S98" s="48" t="s">
        <v>46</v>
      </c>
      <c r="T98" s="48" t="s">
        <v>47</v>
      </c>
      <c r="U98" s="48" t="s">
        <v>42</v>
      </c>
      <c r="V98" s="67">
        <v>4.2</v>
      </c>
      <c r="W98" s="65">
        <v>4</v>
      </c>
      <c r="X98" s="46"/>
      <c r="Y98" s="75"/>
      <c r="Z98" s="48"/>
      <c r="AA98" s="48"/>
      <c r="AB98" s="48"/>
      <c r="AC98" s="67"/>
      <c r="AD98" s="65">
        <v>4</v>
      </c>
      <c r="AE98" s="46"/>
      <c r="AF98" s="75"/>
      <c r="AG98" s="48"/>
      <c r="AH98" s="48"/>
      <c r="AI98" s="48"/>
      <c r="AJ98" s="67"/>
      <c r="AK98" s="65">
        <v>4</v>
      </c>
      <c r="AL98" s="46"/>
      <c r="AM98" s="75"/>
      <c r="AN98" s="48"/>
      <c r="AO98" s="48"/>
      <c r="AP98" s="48"/>
      <c r="AQ98" s="67"/>
      <c r="AR98" s="65">
        <v>4</v>
      </c>
      <c r="AS98" s="46"/>
      <c r="AT98" s="75"/>
      <c r="AU98" s="48"/>
      <c r="AV98" s="48"/>
      <c r="AW98" s="48"/>
      <c r="AX98" s="67"/>
      <c r="AY98" s="66">
        <v>4</v>
      </c>
    </row>
    <row r="99" spans="1:51" x14ac:dyDescent="0.4">
      <c r="A99" s="447" t="s">
        <v>247</v>
      </c>
      <c r="B99" s="449">
        <f>SUM(B63:B98)</f>
        <v>3</v>
      </c>
    </row>
    <row r="100" spans="1:51" ht="19.5" thickBot="1" x14ac:dyDescent="0.45">
      <c r="A100" s="448"/>
      <c r="B100" s="450"/>
    </row>
  </sheetData>
  <sheetProtection algorithmName="SHA-512" hashValue="WwalENNC/A38W+G/xm+0P9zsTTLC92nbOYqD6FSprrcpxrqcbdjg/FIccvf8DgdsZk2BWYeDDSY5GxvC0BGDHA==" saltValue="DJnc/isL5EYrOZl3jjcNcA==" spinCount="100000" sheet="1" selectLockedCells="1"/>
  <mergeCells count="83">
    <mergeCell ref="AM3:AR3"/>
    <mergeCell ref="AM4:AR4"/>
    <mergeCell ref="AM14:AQ14"/>
    <mergeCell ref="AM62:AQ62"/>
    <mergeCell ref="AT3:AY3"/>
    <mergeCell ref="AT4:AY4"/>
    <mergeCell ref="AT14:AX14"/>
    <mergeCell ref="AT62:AX62"/>
    <mergeCell ref="AM7:AR13"/>
    <mergeCell ref="AT7:AY13"/>
    <mergeCell ref="AM55:AR61"/>
    <mergeCell ref="AT55:AY61"/>
    <mergeCell ref="Y14:AC14"/>
    <mergeCell ref="Y3:AD3"/>
    <mergeCell ref="Y4:AD4"/>
    <mergeCell ref="Y62:AC62"/>
    <mergeCell ref="AF3:AK3"/>
    <mergeCell ref="AF4:AK4"/>
    <mergeCell ref="AF14:AJ14"/>
    <mergeCell ref="AF62:AJ62"/>
    <mergeCell ref="Y7:AD13"/>
    <mergeCell ref="AF7:AK13"/>
    <mergeCell ref="Y55:AD61"/>
    <mergeCell ref="AF55:AK61"/>
    <mergeCell ref="Q63:Q68"/>
    <mergeCell ref="R14:V14"/>
    <mergeCell ref="M14:Q14"/>
    <mergeCell ref="M3:N4"/>
    <mergeCell ref="O3:Q3"/>
    <mergeCell ref="R3:W3"/>
    <mergeCell ref="O4:Q4"/>
    <mergeCell ref="R4:W4"/>
    <mergeCell ref="R7:W13"/>
    <mergeCell ref="R55:W61"/>
    <mergeCell ref="R62:V62"/>
    <mergeCell ref="M81:M86"/>
    <mergeCell ref="N81:N86"/>
    <mergeCell ref="O81:O86"/>
    <mergeCell ref="P81:P86"/>
    <mergeCell ref="Q81:Q86"/>
    <mergeCell ref="Q69:Q74"/>
    <mergeCell ref="M75:M80"/>
    <mergeCell ref="N75:N80"/>
    <mergeCell ref="O75:O80"/>
    <mergeCell ref="P75:P80"/>
    <mergeCell ref="Q75:Q80"/>
    <mergeCell ref="M93:M98"/>
    <mergeCell ref="N93:N98"/>
    <mergeCell ref="O93:O98"/>
    <mergeCell ref="P93:P98"/>
    <mergeCell ref="Q93:Q98"/>
    <mergeCell ref="M87:M92"/>
    <mergeCell ref="N87:N92"/>
    <mergeCell ref="O87:O92"/>
    <mergeCell ref="P87:P92"/>
    <mergeCell ref="E61:E62"/>
    <mergeCell ref="F61:J61"/>
    <mergeCell ref="M63:M68"/>
    <mergeCell ref="N63:N68"/>
    <mergeCell ref="O63:O68"/>
    <mergeCell ref="P63:P68"/>
    <mergeCell ref="M62:Q62"/>
    <mergeCell ref="Q87:Q92"/>
    <mergeCell ref="M69:M74"/>
    <mergeCell ref="N69:N74"/>
    <mergeCell ref="O69:O74"/>
    <mergeCell ref="P69:P74"/>
    <mergeCell ref="D7:F7"/>
    <mergeCell ref="D8:F8"/>
    <mergeCell ref="D9:F9"/>
    <mergeCell ref="D10:F10"/>
    <mergeCell ref="A99:A100"/>
    <mergeCell ref="B99:B100"/>
    <mergeCell ref="A53:A54"/>
    <mergeCell ref="B53:B54"/>
    <mergeCell ref="B12:J12"/>
    <mergeCell ref="B13:C13"/>
    <mergeCell ref="F13:J13"/>
    <mergeCell ref="E13:E14"/>
    <mergeCell ref="D13:D14"/>
    <mergeCell ref="B60:J60"/>
    <mergeCell ref="B61:C61"/>
    <mergeCell ref="D61:D6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F5F7-E623-426C-AE97-5902C1E2DFC0}">
  <dimension ref="A1:Y54"/>
  <sheetViews>
    <sheetView view="pageBreakPreview" topLeftCell="AA1" zoomScale="70" zoomScaleNormal="85" zoomScaleSheetLayoutView="70" workbookViewId="0">
      <selection sqref="A1:Z1048576"/>
    </sheetView>
  </sheetViews>
  <sheetFormatPr defaultRowHeight="18.75" x14ac:dyDescent="0.4"/>
  <cols>
    <col min="1" max="5" width="0" hidden="1" customWidth="1"/>
    <col min="6" max="10" width="9" hidden="1" customWidth="1"/>
    <col min="11" max="20" width="0" hidden="1" customWidth="1"/>
    <col min="21" max="25" width="17.875" hidden="1" customWidth="1"/>
    <col min="26" max="26" width="0" hidden="1" customWidth="1"/>
  </cols>
  <sheetData>
    <row r="1" spans="1:25" x14ac:dyDescent="0.4">
      <c r="A1" s="85" t="s">
        <v>243</v>
      </c>
      <c r="B1" s="3">
        <f>一次エネ消費量表紙!C15</f>
        <v>1</v>
      </c>
      <c r="L1" t="s">
        <v>6</v>
      </c>
      <c r="N1" t="s">
        <v>130</v>
      </c>
    </row>
    <row r="2" spans="1:25" ht="19.5" thickBot="1" x14ac:dyDescent="0.45"/>
    <row r="3" spans="1:25" ht="19.5" thickBot="1" x14ac:dyDescent="0.45">
      <c r="A3" t="s">
        <v>48</v>
      </c>
      <c r="L3" t="s">
        <v>48</v>
      </c>
      <c r="U3" s="51" t="s">
        <v>85</v>
      </c>
      <c r="V3" s="51" t="s">
        <v>132</v>
      </c>
      <c r="W3" s="51" t="s">
        <v>133</v>
      </c>
      <c r="X3" s="51" t="s">
        <v>135</v>
      </c>
      <c r="Y3" s="51" t="s">
        <v>137</v>
      </c>
    </row>
    <row r="4" spans="1:25" ht="19.5" thickBot="1" x14ac:dyDescent="0.45">
      <c r="A4" s="469" t="s">
        <v>265</v>
      </c>
      <c r="B4" s="469"/>
      <c r="C4" s="3">
        <f>一次エネ消費量表紙!A49</f>
        <v>4</v>
      </c>
      <c r="N4" s="44" t="s">
        <v>49</v>
      </c>
      <c r="U4" s="470" t="s">
        <v>44</v>
      </c>
      <c r="V4" s="470"/>
      <c r="W4" s="470"/>
      <c r="X4" s="470"/>
      <c r="Y4" s="470"/>
    </row>
    <row r="5" spans="1:25" ht="19.5" thickBot="1" x14ac:dyDescent="0.45">
      <c r="B5" s="4" t="s">
        <v>44</v>
      </c>
      <c r="C5" s="201">
        <f>HLOOKUP(暖房方式番号Z,換気設備配列4地域,C4+1,FALSE)</f>
        <v>7</v>
      </c>
      <c r="M5" s="469" t="s">
        <v>50</v>
      </c>
      <c r="N5" s="469"/>
      <c r="O5" s="469"/>
      <c r="P5" s="469"/>
      <c r="Q5" s="469"/>
      <c r="R5" s="469"/>
      <c r="S5" s="469"/>
      <c r="T5" s="45"/>
      <c r="U5" s="3">
        <v>1</v>
      </c>
      <c r="V5" s="3">
        <v>2</v>
      </c>
      <c r="W5" s="3">
        <v>3</v>
      </c>
      <c r="X5" s="3">
        <v>4</v>
      </c>
      <c r="Y5" s="3">
        <v>5</v>
      </c>
    </row>
    <row r="6" spans="1:25" x14ac:dyDescent="0.4">
      <c r="L6">
        <v>1</v>
      </c>
      <c r="M6" s="45" t="s">
        <v>73</v>
      </c>
      <c r="N6" s="418" t="s">
        <v>51</v>
      </c>
      <c r="O6" s="418"/>
      <c r="P6" s="418"/>
      <c r="Q6" s="418"/>
      <c r="R6" s="418"/>
      <c r="S6" s="418"/>
      <c r="T6" s="3">
        <v>1</v>
      </c>
      <c r="U6" s="3">
        <v>10</v>
      </c>
      <c r="V6" s="3">
        <v>10</v>
      </c>
      <c r="W6" s="3">
        <v>10</v>
      </c>
      <c r="X6" s="3">
        <v>10</v>
      </c>
      <c r="Y6" s="3">
        <v>10</v>
      </c>
    </row>
    <row r="7" spans="1:25" x14ac:dyDescent="0.4">
      <c r="L7">
        <v>2</v>
      </c>
      <c r="M7" s="45" t="s">
        <v>73</v>
      </c>
      <c r="N7" s="418" t="s">
        <v>52</v>
      </c>
      <c r="O7" s="418"/>
      <c r="P7" s="418"/>
      <c r="Q7" s="418"/>
      <c r="R7" s="418"/>
      <c r="S7" s="418"/>
      <c r="T7" s="3">
        <v>2</v>
      </c>
      <c r="U7" s="3">
        <v>8</v>
      </c>
      <c r="V7" s="3">
        <v>8</v>
      </c>
      <c r="W7" s="3">
        <v>8</v>
      </c>
      <c r="X7" s="3">
        <v>8</v>
      </c>
      <c r="Y7" s="3">
        <v>8</v>
      </c>
    </row>
    <row r="8" spans="1:25" x14ac:dyDescent="0.4">
      <c r="L8">
        <v>3</v>
      </c>
      <c r="M8" s="45" t="s">
        <v>73</v>
      </c>
      <c r="N8" s="418" t="s">
        <v>53</v>
      </c>
      <c r="O8" s="418"/>
      <c r="P8" s="418"/>
      <c r="Q8" s="418"/>
      <c r="R8" s="418"/>
      <c r="S8" s="418"/>
      <c r="T8" s="3">
        <v>3</v>
      </c>
      <c r="U8" s="3">
        <v>8</v>
      </c>
      <c r="V8" s="3">
        <v>8</v>
      </c>
      <c r="W8" s="3">
        <v>8</v>
      </c>
      <c r="X8" s="3">
        <v>8</v>
      </c>
      <c r="Y8" s="3">
        <v>8</v>
      </c>
    </row>
    <row r="9" spans="1:25" x14ac:dyDescent="0.4">
      <c r="L9">
        <v>4</v>
      </c>
      <c r="M9" s="45" t="s">
        <v>73</v>
      </c>
      <c r="N9" s="418" t="s">
        <v>54</v>
      </c>
      <c r="O9" s="418"/>
      <c r="P9" s="418"/>
      <c r="Q9" s="418"/>
      <c r="R9" s="418"/>
      <c r="S9" s="418"/>
      <c r="T9" s="3">
        <v>4</v>
      </c>
      <c r="U9" s="3">
        <v>7</v>
      </c>
      <c r="V9" s="3">
        <v>7</v>
      </c>
      <c r="W9" s="3">
        <v>7</v>
      </c>
      <c r="X9" s="3">
        <v>7</v>
      </c>
      <c r="Y9" s="3">
        <v>7</v>
      </c>
    </row>
    <row r="10" spans="1:25" x14ac:dyDescent="0.4">
      <c r="A10" t="s">
        <v>55</v>
      </c>
    </row>
    <row r="11" spans="1:25" ht="19.5" thickBot="1" x14ac:dyDescent="0.45">
      <c r="A11" s="469" t="s">
        <v>265</v>
      </c>
      <c r="B11" s="469"/>
      <c r="C11" s="3">
        <f>一次エネ消費量表紙!F68</f>
        <v>1</v>
      </c>
      <c r="L11" t="s">
        <v>55</v>
      </c>
    </row>
    <row r="12" spans="1:25" ht="19.5" thickBot="1" x14ac:dyDescent="0.45">
      <c r="B12" s="4" t="s">
        <v>44</v>
      </c>
      <c r="C12" s="201">
        <f>HLOOKUP(暖房方式番号Z,給湯設備配列4地域,C11+1,FALSE)</f>
        <v>38</v>
      </c>
      <c r="N12" s="44" t="s">
        <v>49</v>
      </c>
      <c r="O12" s="44"/>
      <c r="P12" s="44"/>
      <c r="Q12" s="44"/>
      <c r="R12" s="44"/>
      <c r="S12" s="44"/>
      <c r="T12" s="44"/>
      <c r="U12" s="3" t="s">
        <v>44</v>
      </c>
      <c r="V12" s="3" t="s">
        <v>44</v>
      </c>
      <c r="W12" s="3" t="s">
        <v>44</v>
      </c>
      <c r="X12" s="3" t="s">
        <v>44</v>
      </c>
      <c r="Y12" s="3" t="s">
        <v>44</v>
      </c>
    </row>
    <row r="13" spans="1:25" x14ac:dyDescent="0.4">
      <c r="M13" s="469" t="s">
        <v>50</v>
      </c>
      <c r="N13" s="469"/>
      <c r="O13" s="469"/>
      <c r="P13" s="469"/>
      <c r="Q13" s="469"/>
      <c r="R13" s="469" t="s">
        <v>56</v>
      </c>
      <c r="S13" s="469"/>
      <c r="T13" s="45"/>
      <c r="U13" s="3">
        <v>1</v>
      </c>
      <c r="V13" s="3">
        <v>2</v>
      </c>
      <c r="W13" s="3">
        <v>3</v>
      </c>
      <c r="X13" s="3">
        <v>4</v>
      </c>
      <c r="Y13" s="3">
        <v>5</v>
      </c>
    </row>
    <row r="14" spans="1:25" x14ac:dyDescent="0.4">
      <c r="L14">
        <v>1</v>
      </c>
      <c r="M14" s="45" t="s">
        <v>73</v>
      </c>
      <c r="N14" s="418" t="s">
        <v>33</v>
      </c>
      <c r="O14" s="418"/>
      <c r="P14" s="418"/>
      <c r="Q14" s="418"/>
      <c r="R14" s="3"/>
      <c r="S14" s="45" t="s">
        <v>104</v>
      </c>
      <c r="T14" s="3">
        <v>1</v>
      </c>
      <c r="U14" s="3">
        <v>38</v>
      </c>
      <c r="V14" s="3">
        <v>38</v>
      </c>
      <c r="W14" s="3">
        <v>38</v>
      </c>
      <c r="X14" s="3">
        <v>38</v>
      </c>
      <c r="Y14" s="3">
        <v>38</v>
      </c>
    </row>
    <row r="15" spans="1:25" x14ac:dyDescent="0.4">
      <c r="L15">
        <v>2</v>
      </c>
      <c r="M15" s="469" t="s">
        <v>73</v>
      </c>
      <c r="N15" s="418" t="s">
        <v>57</v>
      </c>
      <c r="O15" s="418"/>
      <c r="P15" s="418"/>
      <c r="Q15" s="418"/>
      <c r="R15" s="45" t="s">
        <v>266</v>
      </c>
      <c r="S15" s="3" t="s">
        <v>62</v>
      </c>
      <c r="T15" s="3">
        <v>2</v>
      </c>
      <c r="U15" s="3">
        <v>44</v>
      </c>
      <c r="V15" s="3">
        <v>44</v>
      </c>
      <c r="W15" s="3">
        <v>44</v>
      </c>
      <c r="X15" s="3">
        <v>44</v>
      </c>
      <c r="Y15" s="3">
        <v>44</v>
      </c>
    </row>
    <row r="16" spans="1:25" x14ac:dyDescent="0.4">
      <c r="M16" s="469"/>
      <c r="N16" s="418"/>
      <c r="O16" s="418"/>
      <c r="P16" s="418"/>
      <c r="Q16" s="418"/>
      <c r="R16" s="45" t="s">
        <v>267</v>
      </c>
      <c r="S16" s="3" t="s">
        <v>63</v>
      </c>
      <c r="T16" s="3">
        <v>3</v>
      </c>
      <c r="U16" s="3">
        <v>41</v>
      </c>
      <c r="V16" s="3">
        <v>41</v>
      </c>
      <c r="W16" s="3">
        <v>41</v>
      </c>
      <c r="X16" s="3">
        <v>41</v>
      </c>
      <c r="Y16" s="3">
        <v>41</v>
      </c>
    </row>
    <row r="17" spans="1:25" x14ac:dyDescent="0.4">
      <c r="L17">
        <v>3</v>
      </c>
      <c r="M17" s="469" t="s">
        <v>73</v>
      </c>
      <c r="N17" s="418" t="s">
        <v>58</v>
      </c>
      <c r="O17" s="418"/>
      <c r="P17" s="418"/>
      <c r="Q17" s="418"/>
      <c r="R17" s="45" t="s">
        <v>266</v>
      </c>
      <c r="S17" s="3" t="s">
        <v>62</v>
      </c>
      <c r="T17" s="3">
        <v>4</v>
      </c>
      <c r="U17" s="3">
        <v>38</v>
      </c>
      <c r="V17" s="3">
        <v>38</v>
      </c>
      <c r="W17" s="3">
        <v>38</v>
      </c>
      <c r="X17" s="3">
        <v>38</v>
      </c>
      <c r="Y17" s="3">
        <v>38</v>
      </c>
    </row>
    <row r="18" spans="1:25" x14ac:dyDescent="0.4">
      <c r="M18" s="469"/>
      <c r="N18" s="418"/>
      <c r="O18" s="418"/>
      <c r="P18" s="418"/>
      <c r="Q18" s="418"/>
      <c r="R18" s="45" t="s">
        <v>267</v>
      </c>
      <c r="S18" s="3" t="s">
        <v>63</v>
      </c>
      <c r="T18" s="3">
        <v>5</v>
      </c>
      <c r="U18" s="3">
        <v>35</v>
      </c>
      <c r="V18" s="3">
        <v>35</v>
      </c>
      <c r="W18" s="3">
        <v>35</v>
      </c>
      <c r="X18" s="3">
        <v>35</v>
      </c>
      <c r="Y18" s="3">
        <v>35</v>
      </c>
    </row>
    <row r="19" spans="1:25" x14ac:dyDescent="0.4">
      <c r="L19">
        <v>4</v>
      </c>
      <c r="M19" s="469" t="s">
        <v>73</v>
      </c>
      <c r="N19" s="418" t="s">
        <v>59</v>
      </c>
      <c r="O19" s="418"/>
      <c r="P19" s="418"/>
      <c r="Q19" s="418"/>
      <c r="R19" s="45" t="s">
        <v>266</v>
      </c>
      <c r="S19" s="3" t="s">
        <v>62</v>
      </c>
      <c r="T19" s="3">
        <v>6</v>
      </c>
      <c r="U19" s="3">
        <v>39</v>
      </c>
      <c r="V19" s="3">
        <v>39</v>
      </c>
      <c r="W19" s="3">
        <v>39</v>
      </c>
      <c r="X19" s="3">
        <v>39</v>
      </c>
      <c r="Y19" s="3">
        <v>39</v>
      </c>
    </row>
    <row r="20" spans="1:25" x14ac:dyDescent="0.4">
      <c r="M20" s="469"/>
      <c r="N20" s="418"/>
      <c r="O20" s="418"/>
      <c r="P20" s="418"/>
      <c r="Q20" s="418"/>
      <c r="R20" s="45" t="s">
        <v>267</v>
      </c>
      <c r="S20" s="3" t="s">
        <v>63</v>
      </c>
      <c r="T20" s="3">
        <v>7</v>
      </c>
      <c r="U20" s="3">
        <v>37</v>
      </c>
      <c r="V20" s="3">
        <v>37</v>
      </c>
      <c r="W20" s="3">
        <v>37</v>
      </c>
      <c r="X20" s="3">
        <v>37</v>
      </c>
      <c r="Y20" s="3">
        <v>37</v>
      </c>
    </row>
    <row r="21" spans="1:25" x14ac:dyDescent="0.4">
      <c r="L21">
        <v>5</v>
      </c>
      <c r="M21" s="469" t="s">
        <v>73</v>
      </c>
      <c r="N21" s="418" t="s">
        <v>60</v>
      </c>
      <c r="O21" s="418"/>
      <c r="P21" s="418"/>
      <c r="Q21" s="418"/>
      <c r="R21" s="45" t="s">
        <v>266</v>
      </c>
      <c r="S21" s="3" t="s">
        <v>62</v>
      </c>
      <c r="T21" s="3">
        <v>8</v>
      </c>
      <c r="U21" s="3">
        <v>38</v>
      </c>
      <c r="V21" s="3">
        <v>38</v>
      </c>
      <c r="W21" s="3">
        <v>38</v>
      </c>
      <c r="X21" s="3">
        <v>38</v>
      </c>
      <c r="Y21" s="3">
        <v>38</v>
      </c>
    </row>
    <row r="22" spans="1:25" x14ac:dyDescent="0.4">
      <c r="M22" s="469"/>
      <c r="N22" s="418"/>
      <c r="O22" s="418"/>
      <c r="P22" s="418"/>
      <c r="Q22" s="418"/>
      <c r="R22" s="45" t="s">
        <v>267</v>
      </c>
      <c r="S22" s="3" t="s">
        <v>63</v>
      </c>
      <c r="T22" s="3">
        <v>9</v>
      </c>
      <c r="U22" s="3">
        <v>35</v>
      </c>
      <c r="V22" s="3">
        <v>35</v>
      </c>
      <c r="W22" s="3">
        <v>35</v>
      </c>
      <c r="X22" s="3">
        <v>35</v>
      </c>
      <c r="Y22" s="3">
        <v>35</v>
      </c>
    </row>
    <row r="23" spans="1:25" x14ac:dyDescent="0.4">
      <c r="L23">
        <v>6</v>
      </c>
      <c r="M23" s="469" t="s">
        <v>73</v>
      </c>
      <c r="N23" s="418" t="s">
        <v>61</v>
      </c>
      <c r="O23" s="418"/>
      <c r="P23" s="418"/>
      <c r="Q23" s="418"/>
      <c r="R23" s="45" t="s">
        <v>266</v>
      </c>
      <c r="S23" s="3" t="s">
        <v>62</v>
      </c>
      <c r="T23" s="3">
        <v>10</v>
      </c>
      <c r="U23" s="3">
        <v>37</v>
      </c>
      <c r="V23" s="3">
        <v>37</v>
      </c>
      <c r="W23" s="3">
        <v>37</v>
      </c>
      <c r="X23" s="3">
        <v>37</v>
      </c>
      <c r="Y23" s="3">
        <v>37</v>
      </c>
    </row>
    <row r="24" spans="1:25" x14ac:dyDescent="0.4">
      <c r="M24" s="469"/>
      <c r="N24" s="418"/>
      <c r="O24" s="418"/>
      <c r="P24" s="418"/>
      <c r="Q24" s="418"/>
      <c r="R24" s="45" t="s">
        <v>267</v>
      </c>
      <c r="S24" s="3" t="s">
        <v>63</v>
      </c>
      <c r="T24" s="3">
        <v>11</v>
      </c>
      <c r="U24" s="3">
        <v>35</v>
      </c>
      <c r="V24" s="3">
        <v>35</v>
      </c>
      <c r="W24" s="3">
        <v>35</v>
      </c>
      <c r="X24" s="3">
        <v>35</v>
      </c>
      <c r="Y24" s="3">
        <v>35</v>
      </c>
    </row>
    <row r="25" spans="1:25" x14ac:dyDescent="0.4">
      <c r="N25" s="472" t="s">
        <v>65</v>
      </c>
      <c r="O25" s="472"/>
      <c r="P25" s="472"/>
      <c r="Q25" s="472"/>
      <c r="R25" s="472"/>
      <c r="S25" s="472"/>
      <c r="T25" s="472"/>
      <c r="U25" s="472"/>
    </row>
    <row r="26" spans="1:25" x14ac:dyDescent="0.4">
      <c r="N26" s="472"/>
      <c r="O26" s="472"/>
      <c r="P26" s="472"/>
      <c r="Q26" s="472"/>
      <c r="R26" s="472"/>
      <c r="S26" s="472"/>
      <c r="T26" s="472"/>
      <c r="U26" s="472"/>
    </row>
    <row r="27" spans="1:25" x14ac:dyDescent="0.4">
      <c r="N27" s="472"/>
      <c r="O27" s="472"/>
      <c r="P27" s="472"/>
      <c r="Q27" s="472"/>
      <c r="R27" s="472"/>
      <c r="S27" s="472"/>
      <c r="T27" s="472"/>
      <c r="U27" s="472"/>
    </row>
    <row r="28" spans="1:25" x14ac:dyDescent="0.4">
      <c r="N28" s="472"/>
      <c r="O28" s="472"/>
      <c r="P28" s="472"/>
      <c r="Q28" s="472"/>
      <c r="R28" s="472"/>
      <c r="S28" s="472"/>
      <c r="T28" s="472"/>
      <c r="U28" s="472"/>
    </row>
    <row r="29" spans="1:25" x14ac:dyDescent="0.4">
      <c r="A29" t="s">
        <v>64</v>
      </c>
      <c r="N29" s="472"/>
      <c r="O29" s="472"/>
      <c r="P29" s="472"/>
      <c r="Q29" s="472"/>
      <c r="R29" s="472"/>
      <c r="S29" s="472"/>
      <c r="T29" s="472"/>
      <c r="U29" s="472"/>
    </row>
    <row r="30" spans="1:25" ht="19.5" thickBot="1" x14ac:dyDescent="0.45">
      <c r="A30" s="469" t="s">
        <v>265</v>
      </c>
      <c r="B30" s="469"/>
      <c r="C30" s="3">
        <f>一次エネ消費量表紙!F98</f>
        <v>1</v>
      </c>
      <c r="L30" t="s">
        <v>64</v>
      </c>
    </row>
    <row r="31" spans="1:25" ht="18.75" customHeight="1" thickBot="1" x14ac:dyDescent="0.45">
      <c r="B31" s="4" t="s">
        <v>44</v>
      </c>
      <c r="C31" s="201">
        <f>HLOOKUP(暖房方式番号Z,照明設備配列4地域,C30+1,FALSE)</f>
        <v>8</v>
      </c>
      <c r="N31" s="471" t="s">
        <v>66</v>
      </c>
      <c r="O31" s="471"/>
      <c r="P31" s="471"/>
      <c r="Q31" s="471"/>
      <c r="R31" s="471"/>
      <c r="S31" s="471"/>
      <c r="T31" s="471"/>
      <c r="U31" s="471"/>
    </row>
    <row r="32" spans="1:25" x14ac:dyDescent="0.4">
      <c r="N32" s="471"/>
      <c r="O32" s="471"/>
      <c r="P32" s="471"/>
      <c r="Q32" s="471"/>
      <c r="R32" s="471"/>
      <c r="S32" s="471"/>
      <c r="T32" s="471"/>
      <c r="U32" s="471"/>
    </row>
    <row r="33" spans="12:25" x14ac:dyDescent="0.4">
      <c r="N33" s="471"/>
      <c r="O33" s="471"/>
      <c r="P33" s="471"/>
      <c r="Q33" s="471"/>
      <c r="R33" s="471"/>
      <c r="S33" s="471"/>
      <c r="T33" s="471"/>
      <c r="U33" s="471"/>
    </row>
    <row r="34" spans="12:25" x14ac:dyDescent="0.4">
      <c r="M34" s="469" t="s">
        <v>50</v>
      </c>
      <c r="N34" s="469"/>
      <c r="O34" s="469"/>
      <c r="P34" s="469"/>
      <c r="Q34" s="469"/>
      <c r="R34" s="469"/>
      <c r="S34" s="469"/>
      <c r="T34" s="45"/>
      <c r="U34" s="3" t="s">
        <v>44</v>
      </c>
      <c r="V34" s="3" t="s">
        <v>44</v>
      </c>
      <c r="W34" s="3" t="s">
        <v>44</v>
      </c>
      <c r="X34" s="3" t="s">
        <v>44</v>
      </c>
      <c r="Y34" s="3" t="s">
        <v>44</v>
      </c>
    </row>
    <row r="35" spans="12:25" x14ac:dyDescent="0.4">
      <c r="M35" s="469" t="s">
        <v>67</v>
      </c>
      <c r="N35" s="469"/>
      <c r="O35" s="469"/>
      <c r="P35" s="469"/>
      <c r="Q35" s="469" t="s">
        <v>68</v>
      </c>
      <c r="R35" s="469"/>
      <c r="S35" s="469"/>
      <c r="T35" s="45"/>
      <c r="U35" s="3">
        <v>1</v>
      </c>
      <c r="V35" s="3">
        <v>2</v>
      </c>
      <c r="W35" s="3">
        <v>3</v>
      </c>
      <c r="X35" s="3">
        <v>4</v>
      </c>
      <c r="Y35" s="3">
        <v>5</v>
      </c>
    </row>
    <row r="36" spans="12:25" x14ac:dyDescent="0.4">
      <c r="L36">
        <v>1</v>
      </c>
      <c r="M36" s="469" t="s">
        <v>73</v>
      </c>
      <c r="N36" s="418" t="s">
        <v>33</v>
      </c>
      <c r="O36" s="418"/>
      <c r="P36" s="418"/>
      <c r="Q36" s="45" t="s">
        <v>266</v>
      </c>
      <c r="R36" s="418" t="s">
        <v>69</v>
      </c>
      <c r="S36" s="418"/>
      <c r="T36" s="3">
        <v>1</v>
      </c>
      <c r="U36" s="3">
        <v>8</v>
      </c>
      <c r="V36" s="3">
        <v>8</v>
      </c>
      <c r="W36" s="3">
        <v>8</v>
      </c>
      <c r="X36" s="3">
        <v>8</v>
      </c>
      <c r="Y36" s="3">
        <v>8</v>
      </c>
    </row>
    <row r="37" spans="12:25" x14ac:dyDescent="0.4">
      <c r="M37" s="469"/>
      <c r="N37" s="418"/>
      <c r="O37" s="418"/>
      <c r="P37" s="418"/>
      <c r="Q37" s="45" t="s">
        <v>267</v>
      </c>
      <c r="R37" s="418" t="s">
        <v>70</v>
      </c>
      <c r="S37" s="418"/>
      <c r="T37" s="3">
        <v>2</v>
      </c>
      <c r="U37" s="3">
        <v>8</v>
      </c>
      <c r="V37" s="3">
        <v>8</v>
      </c>
      <c r="W37" s="3">
        <v>8</v>
      </c>
      <c r="X37" s="3">
        <v>8</v>
      </c>
      <c r="Y37" s="3">
        <v>8</v>
      </c>
    </row>
    <row r="38" spans="12:25" x14ac:dyDescent="0.4">
      <c r="M38" s="469"/>
      <c r="N38" s="418"/>
      <c r="O38" s="418"/>
      <c r="P38" s="418"/>
      <c r="Q38" s="45" t="s">
        <v>268</v>
      </c>
      <c r="R38" s="418" t="s">
        <v>71</v>
      </c>
      <c r="S38" s="418"/>
      <c r="T38" s="3">
        <v>3</v>
      </c>
      <c r="U38" s="3">
        <v>8</v>
      </c>
      <c r="V38" s="3">
        <v>8</v>
      </c>
      <c r="W38" s="3">
        <v>8</v>
      </c>
      <c r="X38" s="3">
        <v>8</v>
      </c>
      <c r="Y38" s="3">
        <v>8</v>
      </c>
    </row>
    <row r="39" spans="12:25" x14ac:dyDescent="0.4">
      <c r="M39" s="469"/>
      <c r="N39" s="418"/>
      <c r="O39" s="418"/>
      <c r="P39" s="418"/>
      <c r="Q39" s="45" t="s">
        <v>269</v>
      </c>
      <c r="R39" s="418" t="s">
        <v>72</v>
      </c>
      <c r="S39" s="418"/>
      <c r="T39" s="3">
        <v>4</v>
      </c>
      <c r="U39" s="3">
        <v>10</v>
      </c>
      <c r="V39" s="3">
        <v>10</v>
      </c>
      <c r="W39" s="3">
        <v>10</v>
      </c>
      <c r="X39" s="3">
        <v>10</v>
      </c>
      <c r="Y39" s="3">
        <v>10</v>
      </c>
    </row>
    <row r="40" spans="12:25" x14ac:dyDescent="0.4">
      <c r="L40">
        <v>2</v>
      </c>
      <c r="M40" s="469" t="s">
        <v>73</v>
      </c>
      <c r="N40" s="418" t="s">
        <v>70</v>
      </c>
      <c r="O40" s="418"/>
      <c r="P40" s="418"/>
      <c r="Q40" s="45" t="s">
        <v>266</v>
      </c>
      <c r="R40" s="418" t="s">
        <v>69</v>
      </c>
      <c r="S40" s="418"/>
      <c r="T40" s="3">
        <v>5</v>
      </c>
      <c r="U40" s="3">
        <v>8</v>
      </c>
      <c r="V40" s="3">
        <v>8</v>
      </c>
      <c r="W40" s="3">
        <v>8</v>
      </c>
      <c r="X40" s="3">
        <v>8</v>
      </c>
      <c r="Y40" s="3">
        <v>8</v>
      </c>
    </row>
    <row r="41" spans="12:25" x14ac:dyDescent="0.4">
      <c r="M41" s="469"/>
      <c r="N41" s="418"/>
      <c r="O41" s="418"/>
      <c r="P41" s="418"/>
      <c r="Q41" s="45" t="s">
        <v>267</v>
      </c>
      <c r="R41" s="418" t="s">
        <v>70</v>
      </c>
      <c r="S41" s="418"/>
      <c r="T41" s="3">
        <v>6</v>
      </c>
      <c r="U41" s="3">
        <v>8</v>
      </c>
      <c r="V41" s="3">
        <v>8</v>
      </c>
      <c r="W41" s="3">
        <v>8</v>
      </c>
      <c r="X41" s="3">
        <v>8</v>
      </c>
      <c r="Y41" s="3">
        <v>8</v>
      </c>
    </row>
    <row r="42" spans="12:25" x14ac:dyDescent="0.4">
      <c r="M42" s="469"/>
      <c r="N42" s="418"/>
      <c r="O42" s="418"/>
      <c r="P42" s="418"/>
      <c r="Q42" s="45" t="s">
        <v>268</v>
      </c>
      <c r="R42" s="418" t="s">
        <v>71</v>
      </c>
      <c r="S42" s="418"/>
      <c r="T42" s="3">
        <v>7</v>
      </c>
      <c r="U42" s="3">
        <v>8</v>
      </c>
      <c r="V42" s="3">
        <v>8</v>
      </c>
      <c r="W42" s="3">
        <v>8</v>
      </c>
      <c r="X42" s="3">
        <v>8</v>
      </c>
      <c r="Y42" s="3">
        <v>8</v>
      </c>
    </row>
    <row r="43" spans="12:25" x14ac:dyDescent="0.4">
      <c r="M43" s="469"/>
      <c r="N43" s="418"/>
      <c r="O43" s="418"/>
      <c r="P43" s="418"/>
      <c r="Q43" s="45" t="s">
        <v>269</v>
      </c>
      <c r="R43" s="418" t="s">
        <v>72</v>
      </c>
      <c r="S43" s="418"/>
      <c r="T43" s="3">
        <v>8</v>
      </c>
      <c r="U43" s="3">
        <v>10</v>
      </c>
      <c r="V43" s="3">
        <v>10</v>
      </c>
      <c r="W43" s="3">
        <v>10</v>
      </c>
      <c r="X43" s="3">
        <v>10</v>
      </c>
      <c r="Y43" s="3">
        <v>10</v>
      </c>
    </row>
    <row r="44" spans="12:25" x14ac:dyDescent="0.4">
      <c r="L44">
        <v>3</v>
      </c>
      <c r="M44" s="469" t="s">
        <v>73</v>
      </c>
      <c r="N44" s="418" t="s">
        <v>71</v>
      </c>
      <c r="O44" s="418"/>
      <c r="P44" s="418"/>
      <c r="Q44" s="45" t="s">
        <v>266</v>
      </c>
      <c r="R44" s="418" t="s">
        <v>69</v>
      </c>
      <c r="S44" s="418"/>
      <c r="T44" s="3">
        <v>9</v>
      </c>
      <c r="U44" s="3">
        <v>8</v>
      </c>
      <c r="V44" s="3">
        <v>8</v>
      </c>
      <c r="W44" s="3">
        <v>8</v>
      </c>
      <c r="X44" s="3">
        <v>8</v>
      </c>
      <c r="Y44" s="3">
        <v>8</v>
      </c>
    </row>
    <row r="45" spans="12:25" x14ac:dyDescent="0.4">
      <c r="M45" s="469"/>
      <c r="N45" s="418"/>
      <c r="O45" s="418"/>
      <c r="P45" s="418"/>
      <c r="Q45" s="45" t="s">
        <v>267</v>
      </c>
      <c r="R45" s="418" t="s">
        <v>70</v>
      </c>
      <c r="S45" s="418"/>
      <c r="T45" s="3">
        <v>10</v>
      </c>
      <c r="U45" s="3">
        <v>8</v>
      </c>
      <c r="V45" s="3">
        <v>8</v>
      </c>
      <c r="W45" s="3">
        <v>8</v>
      </c>
      <c r="X45" s="3">
        <v>8</v>
      </c>
      <c r="Y45" s="3">
        <v>8</v>
      </c>
    </row>
    <row r="46" spans="12:25" x14ac:dyDescent="0.4">
      <c r="M46" s="469"/>
      <c r="N46" s="418"/>
      <c r="O46" s="418"/>
      <c r="P46" s="418"/>
      <c r="Q46" s="45" t="s">
        <v>268</v>
      </c>
      <c r="R46" s="418" t="s">
        <v>71</v>
      </c>
      <c r="S46" s="418"/>
      <c r="T46" s="3">
        <v>11</v>
      </c>
      <c r="U46" s="3">
        <v>9</v>
      </c>
      <c r="V46" s="3">
        <v>9</v>
      </c>
      <c r="W46" s="3">
        <v>9</v>
      </c>
      <c r="X46" s="3">
        <v>9</v>
      </c>
      <c r="Y46" s="3">
        <v>9</v>
      </c>
    </row>
    <row r="47" spans="12:25" x14ac:dyDescent="0.4">
      <c r="M47" s="469"/>
      <c r="N47" s="418"/>
      <c r="O47" s="418"/>
      <c r="P47" s="418"/>
      <c r="Q47" s="45" t="s">
        <v>269</v>
      </c>
      <c r="R47" s="418" t="s">
        <v>72</v>
      </c>
      <c r="S47" s="418"/>
      <c r="T47" s="3">
        <v>12</v>
      </c>
      <c r="U47" s="3">
        <v>11</v>
      </c>
      <c r="V47" s="3">
        <v>11</v>
      </c>
      <c r="W47" s="3">
        <v>11</v>
      </c>
      <c r="X47" s="3">
        <v>11</v>
      </c>
      <c r="Y47" s="3">
        <v>11</v>
      </c>
    </row>
    <row r="48" spans="12:25" x14ac:dyDescent="0.4">
      <c r="L48">
        <v>4</v>
      </c>
      <c r="M48" s="469" t="s">
        <v>73</v>
      </c>
      <c r="N48" s="418" t="s">
        <v>72</v>
      </c>
      <c r="O48" s="418"/>
      <c r="P48" s="418"/>
      <c r="Q48" s="45" t="s">
        <v>266</v>
      </c>
      <c r="R48" s="418" t="s">
        <v>69</v>
      </c>
      <c r="S48" s="418"/>
      <c r="T48" s="3">
        <v>13</v>
      </c>
      <c r="U48" s="3">
        <v>12</v>
      </c>
      <c r="V48" s="3">
        <v>12</v>
      </c>
      <c r="W48" s="3">
        <v>12</v>
      </c>
      <c r="X48" s="3">
        <v>12</v>
      </c>
      <c r="Y48" s="3">
        <v>12</v>
      </c>
    </row>
    <row r="49" spans="13:25" x14ac:dyDescent="0.4">
      <c r="M49" s="469"/>
      <c r="N49" s="418"/>
      <c r="O49" s="418"/>
      <c r="P49" s="418"/>
      <c r="Q49" s="45" t="s">
        <v>267</v>
      </c>
      <c r="R49" s="418" t="s">
        <v>70</v>
      </c>
      <c r="S49" s="418"/>
      <c r="T49" s="3">
        <v>14</v>
      </c>
      <c r="U49" s="3">
        <v>12</v>
      </c>
      <c r="V49" s="3">
        <v>12</v>
      </c>
      <c r="W49" s="3">
        <v>12</v>
      </c>
      <c r="X49" s="3">
        <v>12</v>
      </c>
      <c r="Y49" s="3">
        <v>12</v>
      </c>
    </row>
    <row r="50" spans="13:25" x14ac:dyDescent="0.4">
      <c r="M50" s="469"/>
      <c r="N50" s="418"/>
      <c r="O50" s="418"/>
      <c r="P50" s="418"/>
      <c r="Q50" s="45" t="s">
        <v>268</v>
      </c>
      <c r="R50" s="418" t="s">
        <v>71</v>
      </c>
      <c r="S50" s="418"/>
      <c r="T50" s="3">
        <v>15</v>
      </c>
      <c r="U50" s="3">
        <v>13</v>
      </c>
      <c r="V50" s="3">
        <v>13</v>
      </c>
      <c r="W50" s="3">
        <v>13</v>
      </c>
      <c r="X50" s="3">
        <v>13</v>
      </c>
      <c r="Y50" s="3">
        <v>13</v>
      </c>
    </row>
    <row r="51" spans="13:25" x14ac:dyDescent="0.4">
      <c r="M51" s="469"/>
      <c r="N51" s="418"/>
      <c r="O51" s="418"/>
      <c r="P51" s="418"/>
      <c r="Q51" s="45" t="s">
        <v>269</v>
      </c>
      <c r="R51" s="418" t="s">
        <v>72</v>
      </c>
      <c r="S51" s="418"/>
      <c r="T51" s="3">
        <v>16</v>
      </c>
      <c r="U51" s="3">
        <v>15</v>
      </c>
      <c r="V51" s="3">
        <v>15</v>
      </c>
      <c r="W51" s="3">
        <v>15</v>
      </c>
      <c r="X51" s="3">
        <v>15</v>
      </c>
      <c r="Y51" s="3">
        <v>15</v>
      </c>
    </row>
    <row r="52" spans="13:25" x14ac:dyDescent="0.4">
      <c r="N52" s="471" t="s">
        <v>74</v>
      </c>
      <c r="O52" s="471"/>
      <c r="P52" s="471"/>
      <c r="Q52" s="471"/>
      <c r="R52" s="471"/>
      <c r="S52" s="471"/>
      <c r="T52" s="471"/>
      <c r="U52" s="471"/>
    </row>
    <row r="53" spans="13:25" x14ac:dyDescent="0.4">
      <c r="N53" s="471"/>
      <c r="O53" s="471"/>
      <c r="P53" s="471"/>
      <c r="Q53" s="471"/>
      <c r="R53" s="471"/>
      <c r="S53" s="471"/>
      <c r="T53" s="471"/>
      <c r="U53" s="471"/>
    </row>
    <row r="54" spans="13:25" x14ac:dyDescent="0.4">
      <c r="N54" s="471"/>
      <c r="O54" s="471"/>
      <c r="P54" s="471"/>
      <c r="Q54" s="471"/>
      <c r="R54" s="471"/>
      <c r="S54" s="471"/>
      <c r="T54" s="471"/>
      <c r="U54" s="471"/>
    </row>
  </sheetData>
  <sheetProtection algorithmName="SHA-512" hashValue="ZErK69zD8j+c+V0WcsRhDIuuEFEeuHICcQisQhHCJmn1Dpir7w6fAUrWwt4AOZ/JLVGZe8IBU+W1iUQANeAxPA==" saltValue="YSacFnpwoFk0V51IXdQ00Q==" spinCount="100000" sheet="1" objects="1" scenarios="1" selectLockedCells="1"/>
  <mergeCells count="52">
    <mergeCell ref="R50:S50"/>
    <mergeCell ref="R45:S45"/>
    <mergeCell ref="M34:S34"/>
    <mergeCell ref="Q35:S35"/>
    <mergeCell ref="M35:P35"/>
    <mergeCell ref="R44:S44"/>
    <mergeCell ref="M13:Q13"/>
    <mergeCell ref="R13:S13"/>
    <mergeCell ref="N17:Q18"/>
    <mergeCell ref="N19:Q20"/>
    <mergeCell ref="N21:Q22"/>
    <mergeCell ref="M15:M16"/>
    <mergeCell ref="M17:M18"/>
    <mergeCell ref="M19:M20"/>
    <mergeCell ref="M21:M22"/>
    <mergeCell ref="M5:S5"/>
    <mergeCell ref="N6:S6"/>
    <mergeCell ref="N7:S7"/>
    <mergeCell ref="N8:S8"/>
    <mergeCell ref="N9:S9"/>
    <mergeCell ref="M23:M24"/>
    <mergeCell ref="M40:M43"/>
    <mergeCell ref="M44:M47"/>
    <mergeCell ref="M48:M51"/>
    <mergeCell ref="N36:P39"/>
    <mergeCell ref="N40:P43"/>
    <mergeCell ref="N44:P47"/>
    <mergeCell ref="M36:M39"/>
    <mergeCell ref="N48:P51"/>
    <mergeCell ref="N25:U29"/>
    <mergeCell ref="N31:U33"/>
    <mergeCell ref="R51:S51"/>
    <mergeCell ref="R46:S46"/>
    <mergeCell ref="R47:S47"/>
    <mergeCell ref="R48:S48"/>
    <mergeCell ref="R49:S49"/>
    <mergeCell ref="A4:B4"/>
    <mergeCell ref="A11:B11"/>
    <mergeCell ref="A30:B30"/>
    <mergeCell ref="U4:Y4"/>
    <mergeCell ref="N52:U54"/>
    <mergeCell ref="N14:Q14"/>
    <mergeCell ref="N15:Q16"/>
    <mergeCell ref="N23:Q24"/>
    <mergeCell ref="R36:S36"/>
    <mergeCell ref="R37:S37"/>
    <mergeCell ref="R38:S38"/>
    <mergeCell ref="R39:S39"/>
    <mergeCell ref="R40:S40"/>
    <mergeCell ref="R41:S41"/>
    <mergeCell ref="R42:S42"/>
    <mergeCell ref="R43:S43"/>
  </mergeCells>
  <phoneticPr fontId="1"/>
  <pageMargins left="0.70866141732283472"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98A1-DBE0-4918-9AE6-37DF46A82307}">
  <dimension ref="A1:AZ100"/>
  <sheetViews>
    <sheetView view="pageBreakPreview" topLeftCell="BB22" zoomScale="70" zoomScaleNormal="55" zoomScaleSheetLayoutView="70" workbookViewId="0">
      <selection activeCell="A22" sqref="A1:BA1048576"/>
    </sheetView>
  </sheetViews>
  <sheetFormatPr defaultRowHeight="18.75" x14ac:dyDescent="0.4"/>
  <cols>
    <col min="1" max="13" width="0" hidden="1" customWidth="1"/>
    <col min="14" max="14" width="6.875" hidden="1" customWidth="1"/>
    <col min="15" max="15" width="3.5" hidden="1" customWidth="1"/>
    <col min="16" max="16" width="5.75" hidden="1" customWidth="1"/>
    <col min="17" max="17" width="4.75" hidden="1" customWidth="1"/>
    <col min="18" max="18" width="6.625" hidden="1" customWidth="1"/>
    <col min="19" max="19" width="6.375" hidden="1" customWidth="1"/>
    <col min="20" max="20" width="4.875" hidden="1" customWidth="1"/>
    <col min="21" max="21" width="9" hidden="1" customWidth="1"/>
    <col min="22" max="22" width="3.75" hidden="1" customWidth="1"/>
    <col min="23" max="23" width="6" hidden="1" customWidth="1"/>
    <col min="24" max="24" width="10.875" hidden="1" customWidth="1"/>
    <col min="25" max="25" width="1.125" hidden="1" customWidth="1"/>
    <col min="26" max="26" width="4.875" hidden="1" customWidth="1"/>
    <col min="27" max="27" width="4.625" hidden="1" customWidth="1"/>
    <col min="28" max="28" width="0" hidden="1" customWidth="1"/>
    <col min="29" max="29" width="4" hidden="1" customWidth="1"/>
    <col min="30" max="30" width="5.375" hidden="1" customWidth="1"/>
    <col min="31" max="31" width="0" hidden="1" customWidth="1"/>
    <col min="32" max="32" width="1.375" hidden="1" customWidth="1"/>
    <col min="33" max="33" width="4.875" hidden="1" customWidth="1"/>
    <col min="34" max="34" width="4.625" hidden="1" customWidth="1"/>
    <col min="35" max="35" width="0" hidden="1" customWidth="1"/>
    <col min="36" max="36" width="4" hidden="1" customWidth="1"/>
    <col min="37" max="37" width="5.375" hidden="1" customWidth="1"/>
    <col min="38" max="38" width="0" hidden="1" customWidth="1"/>
    <col min="39" max="39" width="1.125" hidden="1" customWidth="1"/>
    <col min="40" max="40" width="4.875" hidden="1" customWidth="1"/>
    <col min="41" max="41" width="4.625" hidden="1" customWidth="1"/>
    <col min="42" max="42" width="0" hidden="1" customWidth="1"/>
    <col min="43" max="43" width="4" hidden="1" customWidth="1"/>
    <col min="44" max="44" width="5.375" hidden="1" customWidth="1"/>
    <col min="45" max="45" width="0" hidden="1" customWidth="1"/>
    <col min="46" max="46" width="1" hidden="1" customWidth="1"/>
    <col min="47" max="47" width="4.875" hidden="1" customWidth="1"/>
    <col min="48" max="48" width="4.625" hidden="1" customWidth="1"/>
    <col min="49" max="49" width="0" hidden="1" customWidth="1"/>
    <col min="50" max="50" width="4" hidden="1" customWidth="1"/>
    <col min="51" max="51" width="5.375" hidden="1" customWidth="1"/>
    <col min="52" max="53" width="0" hidden="1" customWidth="1"/>
  </cols>
  <sheetData>
    <row r="1" spans="1:52" x14ac:dyDescent="0.4">
      <c r="N1" t="s">
        <v>6</v>
      </c>
      <c r="Q1" t="s">
        <v>138</v>
      </c>
    </row>
    <row r="3" spans="1:52" x14ac:dyDescent="0.4">
      <c r="N3" s="418" t="s">
        <v>32</v>
      </c>
      <c r="O3" s="418"/>
      <c r="P3" s="418" t="s">
        <v>30</v>
      </c>
      <c r="Q3" s="418"/>
      <c r="R3" s="418"/>
      <c r="S3" s="418" t="s">
        <v>33</v>
      </c>
      <c r="T3" s="418"/>
      <c r="U3" s="418"/>
      <c r="V3" s="418"/>
      <c r="W3" s="418"/>
      <c r="X3" s="418"/>
      <c r="Z3" s="418" t="s">
        <v>83</v>
      </c>
      <c r="AA3" s="418"/>
      <c r="AB3" s="418"/>
      <c r="AC3" s="418"/>
      <c r="AD3" s="418"/>
      <c r="AE3" s="418"/>
      <c r="AG3" s="418" t="s">
        <v>134</v>
      </c>
      <c r="AH3" s="418"/>
      <c r="AI3" s="418"/>
      <c r="AJ3" s="418"/>
      <c r="AK3" s="418"/>
      <c r="AL3" s="418"/>
      <c r="AN3" s="418" t="s">
        <v>136</v>
      </c>
      <c r="AO3" s="418"/>
      <c r="AP3" s="418"/>
      <c r="AQ3" s="418"/>
      <c r="AR3" s="418"/>
      <c r="AS3" s="418"/>
      <c r="AU3" s="418" t="s">
        <v>280</v>
      </c>
      <c r="AV3" s="418"/>
      <c r="AW3" s="418"/>
      <c r="AX3" s="418"/>
      <c r="AY3" s="418"/>
      <c r="AZ3" s="418"/>
    </row>
    <row r="4" spans="1:52" x14ac:dyDescent="0.4">
      <c r="N4" s="418"/>
      <c r="O4" s="418"/>
      <c r="P4" s="418" t="s">
        <v>31</v>
      </c>
      <c r="Q4" s="418"/>
      <c r="R4" s="418"/>
      <c r="S4" s="418" t="s">
        <v>33</v>
      </c>
      <c r="T4" s="418"/>
      <c r="U4" s="418"/>
      <c r="V4" s="418"/>
      <c r="W4" s="418"/>
      <c r="X4" s="418"/>
      <c r="Z4" s="418" t="s">
        <v>83</v>
      </c>
      <c r="AA4" s="418"/>
      <c r="AB4" s="418"/>
      <c r="AC4" s="418"/>
      <c r="AD4" s="418"/>
      <c r="AE4" s="418"/>
      <c r="AG4" s="418" t="s">
        <v>83</v>
      </c>
      <c r="AH4" s="418"/>
      <c r="AI4" s="418"/>
      <c r="AJ4" s="418"/>
      <c r="AK4" s="418"/>
      <c r="AL4" s="418"/>
      <c r="AN4" s="418" t="s">
        <v>83</v>
      </c>
      <c r="AO4" s="418"/>
      <c r="AP4" s="418"/>
      <c r="AQ4" s="418"/>
      <c r="AR4" s="418"/>
      <c r="AS4" s="418"/>
      <c r="AU4" s="418" t="s">
        <v>281</v>
      </c>
      <c r="AV4" s="418"/>
      <c r="AW4" s="418"/>
      <c r="AX4" s="418"/>
      <c r="AY4" s="418"/>
      <c r="AZ4" s="418"/>
    </row>
    <row r="5" spans="1:52" x14ac:dyDescent="0.4">
      <c r="S5" t="s">
        <v>143</v>
      </c>
      <c r="V5" s="209">
        <v>1</v>
      </c>
      <c r="Z5" t="s">
        <v>144</v>
      </c>
      <c r="AC5" s="209">
        <v>2</v>
      </c>
      <c r="AG5" t="s">
        <v>145</v>
      </c>
      <c r="AJ5" s="209">
        <v>3</v>
      </c>
      <c r="AN5" t="s">
        <v>146</v>
      </c>
      <c r="AQ5" s="209">
        <v>4</v>
      </c>
      <c r="AU5" t="s">
        <v>282</v>
      </c>
      <c r="AX5" s="209">
        <v>5</v>
      </c>
    </row>
    <row r="6" spans="1:52" x14ac:dyDescent="0.4">
      <c r="S6" s="467" t="s">
        <v>241</v>
      </c>
      <c r="T6" s="467"/>
      <c r="U6" s="467"/>
      <c r="V6" s="467"/>
      <c r="W6" s="467"/>
      <c r="X6" s="467"/>
      <c r="Z6" s="467" t="s">
        <v>241</v>
      </c>
      <c r="AA6" s="467"/>
      <c r="AB6" s="467"/>
      <c r="AC6" s="467"/>
      <c r="AD6" s="467"/>
      <c r="AE6" s="467"/>
      <c r="AG6" s="467" t="s">
        <v>240</v>
      </c>
      <c r="AH6" s="467"/>
      <c r="AI6" s="467"/>
      <c r="AJ6" s="467"/>
      <c r="AK6" s="467"/>
      <c r="AL6" s="467"/>
      <c r="AN6" s="467" t="s">
        <v>240</v>
      </c>
      <c r="AO6" s="467"/>
      <c r="AP6" s="467"/>
      <c r="AQ6" s="467"/>
      <c r="AR6" s="467"/>
      <c r="AS6" s="467"/>
      <c r="AU6" s="204"/>
      <c r="AV6" s="204"/>
      <c r="AW6" s="204"/>
      <c r="AX6" s="204"/>
      <c r="AY6" s="204"/>
      <c r="AZ6" s="204"/>
    </row>
    <row r="7" spans="1:52" x14ac:dyDescent="0.4">
      <c r="A7" s="3" t="s">
        <v>228</v>
      </c>
      <c r="B7" s="153">
        <f>一次エネ消費量表紙!AE20</f>
        <v>0.64</v>
      </c>
      <c r="D7" s="444" t="s">
        <v>255</v>
      </c>
      <c r="E7" s="445"/>
      <c r="F7" s="446"/>
      <c r="G7" s="3">
        <f>IF(G9&gt;0,1,0)</f>
        <v>1</v>
      </c>
      <c r="S7" s="467"/>
      <c r="T7" s="467"/>
      <c r="U7" s="467"/>
      <c r="V7" s="467"/>
      <c r="W7" s="467"/>
      <c r="X7" s="467"/>
      <c r="Z7" s="467"/>
      <c r="AA7" s="467"/>
      <c r="AB7" s="467"/>
      <c r="AC7" s="467"/>
      <c r="AD7" s="467"/>
      <c r="AE7" s="467"/>
      <c r="AG7" s="467"/>
      <c r="AH7" s="467"/>
      <c r="AI7" s="467"/>
      <c r="AJ7" s="467"/>
      <c r="AK7" s="467"/>
      <c r="AL7" s="467"/>
      <c r="AN7" s="467"/>
      <c r="AO7" s="467"/>
      <c r="AP7" s="467"/>
      <c r="AQ7" s="467"/>
      <c r="AR7" s="467"/>
      <c r="AS7" s="467"/>
      <c r="AU7" s="204"/>
      <c r="AV7" s="204"/>
      <c r="AW7" s="204"/>
      <c r="AX7" s="204"/>
      <c r="AY7" s="204"/>
      <c r="AZ7" s="204"/>
    </row>
    <row r="8" spans="1:52" x14ac:dyDescent="0.4">
      <c r="A8" s="3" t="s">
        <v>204</v>
      </c>
      <c r="B8" s="152">
        <f>一次エネ消費量表紙!AE22</f>
        <v>2.1</v>
      </c>
      <c r="D8" s="444" t="s">
        <v>256</v>
      </c>
      <c r="E8" s="445"/>
      <c r="F8" s="446"/>
      <c r="G8" s="3">
        <f>IF(G10&gt;0,1,0)</f>
        <v>1</v>
      </c>
      <c r="S8" s="467"/>
      <c r="T8" s="467"/>
      <c r="U8" s="467"/>
      <c r="V8" s="467"/>
      <c r="W8" s="467"/>
      <c r="X8" s="467"/>
      <c r="Z8" s="467"/>
      <c r="AA8" s="467"/>
      <c r="AB8" s="467"/>
      <c r="AC8" s="467"/>
      <c r="AD8" s="467"/>
      <c r="AE8" s="467"/>
      <c r="AG8" s="467"/>
      <c r="AH8" s="467"/>
      <c r="AI8" s="467"/>
      <c r="AJ8" s="467"/>
      <c r="AK8" s="467"/>
      <c r="AL8" s="467"/>
      <c r="AN8" s="467"/>
      <c r="AO8" s="467"/>
      <c r="AP8" s="467"/>
      <c r="AQ8" s="467"/>
      <c r="AR8" s="467"/>
      <c r="AS8" s="467"/>
      <c r="AU8" s="204"/>
      <c r="AV8" s="204"/>
      <c r="AW8" s="204"/>
      <c r="AX8" s="204"/>
      <c r="AY8" s="204"/>
      <c r="AZ8" s="204"/>
    </row>
    <row r="9" spans="1:52" x14ac:dyDescent="0.4">
      <c r="A9" s="3" t="s">
        <v>203</v>
      </c>
      <c r="B9" s="152">
        <f>一次エネ消費量表紙!AE21</f>
        <v>2.2000000000000002</v>
      </c>
      <c r="D9" s="418" t="s">
        <v>257</v>
      </c>
      <c r="E9" s="418"/>
      <c r="F9" s="418"/>
      <c r="G9" s="3">
        <f>B53</f>
        <v>33</v>
      </c>
      <c r="S9" s="467"/>
      <c r="T9" s="467"/>
      <c r="U9" s="467"/>
      <c r="V9" s="467"/>
      <c r="W9" s="467"/>
      <c r="X9" s="467"/>
      <c r="Z9" s="467"/>
      <c r="AA9" s="467"/>
      <c r="AB9" s="467"/>
      <c r="AC9" s="467"/>
      <c r="AD9" s="467"/>
      <c r="AE9" s="467"/>
      <c r="AG9" s="467"/>
      <c r="AH9" s="467"/>
      <c r="AI9" s="467"/>
      <c r="AJ9" s="467"/>
      <c r="AK9" s="467"/>
      <c r="AL9" s="467"/>
      <c r="AN9" s="467"/>
      <c r="AO9" s="467"/>
      <c r="AP9" s="467"/>
      <c r="AQ9" s="467"/>
      <c r="AR9" s="467"/>
      <c r="AS9" s="467"/>
      <c r="AU9" s="204"/>
      <c r="AV9" s="204"/>
      <c r="AW9" s="204"/>
      <c r="AX9" s="204"/>
      <c r="AY9" s="204"/>
      <c r="AZ9" s="204"/>
    </row>
    <row r="10" spans="1:52" x14ac:dyDescent="0.4">
      <c r="A10" s="85" t="s">
        <v>243</v>
      </c>
      <c r="B10" s="3">
        <f>一次エネ消費量表紙!C15</f>
        <v>1</v>
      </c>
      <c r="D10" s="418" t="s">
        <v>258</v>
      </c>
      <c r="E10" s="418"/>
      <c r="F10" s="418"/>
      <c r="G10" s="3">
        <f>B99</f>
        <v>4</v>
      </c>
      <c r="S10" s="467"/>
      <c r="T10" s="467"/>
      <c r="U10" s="467"/>
      <c r="V10" s="467"/>
      <c r="W10" s="467"/>
      <c r="X10" s="467"/>
      <c r="Z10" s="467"/>
      <c r="AA10" s="467"/>
      <c r="AB10" s="467"/>
      <c r="AC10" s="467"/>
      <c r="AD10" s="467"/>
      <c r="AE10" s="467"/>
      <c r="AG10" s="467"/>
      <c r="AH10" s="467"/>
      <c r="AI10" s="467"/>
      <c r="AJ10" s="467"/>
      <c r="AK10" s="467"/>
      <c r="AL10" s="467"/>
      <c r="AN10" s="467"/>
      <c r="AO10" s="467"/>
      <c r="AP10" s="467"/>
      <c r="AQ10" s="467"/>
      <c r="AR10" s="467"/>
      <c r="AS10" s="467"/>
      <c r="AU10" s="204"/>
      <c r="AV10" s="204"/>
      <c r="AW10" s="204"/>
      <c r="AX10" s="204"/>
      <c r="AY10" s="204"/>
      <c r="AZ10" s="204"/>
    </row>
    <row r="11" spans="1:52" x14ac:dyDescent="0.4">
      <c r="S11" s="467"/>
      <c r="T11" s="467"/>
      <c r="U11" s="467"/>
      <c r="V11" s="467"/>
      <c r="W11" s="467"/>
      <c r="X11" s="467"/>
      <c r="Z11" s="467"/>
      <c r="AA11" s="467"/>
      <c r="AB11" s="467"/>
      <c r="AC11" s="467"/>
      <c r="AD11" s="467"/>
      <c r="AE11" s="467"/>
      <c r="AG11" s="467"/>
      <c r="AH11" s="467"/>
      <c r="AI11" s="467"/>
      <c r="AJ11" s="467"/>
      <c r="AK11" s="467"/>
      <c r="AL11" s="467"/>
      <c r="AN11" s="467"/>
      <c r="AO11" s="467"/>
      <c r="AP11" s="467"/>
      <c r="AQ11" s="467"/>
      <c r="AR11" s="467"/>
      <c r="AS11" s="467"/>
      <c r="AU11" s="204"/>
      <c r="AV11" s="204"/>
      <c r="AW11" s="204"/>
      <c r="AX11" s="204"/>
      <c r="AY11" s="204"/>
      <c r="AZ11" s="204"/>
    </row>
    <row r="12" spans="1:52" x14ac:dyDescent="0.4">
      <c r="B12" s="444" t="s">
        <v>231</v>
      </c>
      <c r="C12" s="445"/>
      <c r="D12" s="445"/>
      <c r="E12" s="445"/>
      <c r="F12" s="445"/>
      <c r="G12" s="445"/>
      <c r="H12" s="445"/>
      <c r="I12" s="445"/>
      <c r="J12" s="445"/>
      <c r="K12" s="12"/>
      <c r="S12" s="467"/>
      <c r="T12" s="467"/>
      <c r="U12" s="467"/>
      <c r="V12" s="467"/>
      <c r="W12" s="467"/>
      <c r="X12" s="467"/>
      <c r="Z12" s="467"/>
      <c r="AA12" s="467"/>
      <c r="AB12" s="467"/>
      <c r="AC12" s="467"/>
      <c r="AD12" s="467"/>
      <c r="AE12" s="467"/>
      <c r="AG12" s="467"/>
      <c r="AH12" s="467"/>
      <c r="AI12" s="467"/>
      <c r="AJ12" s="467"/>
      <c r="AK12" s="467"/>
      <c r="AL12" s="467"/>
      <c r="AN12" s="467"/>
      <c r="AO12" s="467"/>
      <c r="AP12" s="467"/>
      <c r="AQ12" s="467"/>
      <c r="AR12" s="467"/>
      <c r="AS12" s="467"/>
      <c r="AU12" s="204"/>
      <c r="AV12" s="204"/>
      <c r="AW12" s="204"/>
      <c r="AX12" s="204"/>
      <c r="AY12" s="204"/>
      <c r="AZ12" s="204"/>
    </row>
    <row r="13" spans="1:52" ht="19.5" thickBot="1" x14ac:dyDescent="0.45">
      <c r="B13" s="451" t="s">
        <v>235</v>
      </c>
      <c r="C13" s="452"/>
      <c r="D13" s="454" t="s">
        <v>45</v>
      </c>
      <c r="E13" s="454" t="s">
        <v>204</v>
      </c>
      <c r="F13" s="444" t="s">
        <v>44</v>
      </c>
      <c r="G13" s="445"/>
      <c r="H13" s="445"/>
      <c r="I13" s="445"/>
      <c r="J13" s="445"/>
      <c r="K13" s="12"/>
      <c r="M13" t="s">
        <v>40</v>
      </c>
      <c r="S13" s="468"/>
      <c r="T13" s="468"/>
      <c r="U13" s="468"/>
      <c r="V13" s="468"/>
      <c r="W13" s="468"/>
      <c r="X13" s="468"/>
      <c r="Z13" s="468"/>
      <c r="AA13" s="468"/>
      <c r="AB13" s="468"/>
      <c r="AC13" s="468"/>
      <c r="AD13" s="468"/>
      <c r="AE13" s="468"/>
      <c r="AG13" s="468"/>
      <c r="AH13" s="468"/>
      <c r="AI13" s="468"/>
      <c r="AJ13" s="468"/>
      <c r="AK13" s="468"/>
      <c r="AL13" s="468"/>
      <c r="AN13" s="468"/>
      <c r="AO13" s="468"/>
      <c r="AP13" s="468"/>
      <c r="AQ13" s="468"/>
      <c r="AR13" s="468"/>
      <c r="AS13" s="468"/>
      <c r="AU13" s="205"/>
      <c r="AV13" s="205"/>
      <c r="AW13" s="205"/>
      <c r="AX13" s="205"/>
      <c r="AY13" s="205"/>
      <c r="AZ13" s="205"/>
    </row>
    <row r="14" spans="1:52" ht="19.5" thickBot="1" x14ac:dyDescent="0.45">
      <c r="A14" s="3" t="s">
        <v>244</v>
      </c>
      <c r="B14" s="41" t="s">
        <v>44</v>
      </c>
      <c r="C14" s="42" t="s">
        <v>242</v>
      </c>
      <c r="D14" s="455"/>
      <c r="E14" s="455"/>
      <c r="F14" s="211">
        <v>1</v>
      </c>
      <c r="G14" s="211">
        <v>2</v>
      </c>
      <c r="H14" s="211">
        <v>3</v>
      </c>
      <c r="I14" s="211">
        <v>4</v>
      </c>
      <c r="J14" s="211">
        <v>5</v>
      </c>
      <c r="N14" s="460" t="s">
        <v>41</v>
      </c>
      <c r="O14" s="461"/>
      <c r="P14" s="461"/>
      <c r="Q14" s="461"/>
      <c r="R14" s="461"/>
      <c r="S14" s="461" t="s">
        <v>34</v>
      </c>
      <c r="T14" s="461"/>
      <c r="U14" s="461"/>
      <c r="V14" s="461"/>
      <c r="W14" s="461"/>
      <c r="X14" s="55" t="s">
        <v>44</v>
      </c>
      <c r="Y14" s="50"/>
      <c r="Z14" s="461" t="s">
        <v>34</v>
      </c>
      <c r="AA14" s="461"/>
      <c r="AB14" s="461"/>
      <c r="AC14" s="461"/>
      <c r="AD14" s="461"/>
      <c r="AE14" s="55" t="s">
        <v>44</v>
      </c>
      <c r="AF14" s="50"/>
      <c r="AG14" s="461" t="s">
        <v>34</v>
      </c>
      <c r="AH14" s="461"/>
      <c r="AI14" s="461"/>
      <c r="AJ14" s="461"/>
      <c r="AK14" s="461"/>
      <c r="AL14" s="55" t="s">
        <v>44</v>
      </c>
      <c r="AM14" s="50"/>
      <c r="AN14" s="461" t="s">
        <v>34</v>
      </c>
      <c r="AO14" s="461"/>
      <c r="AP14" s="461"/>
      <c r="AQ14" s="461"/>
      <c r="AR14" s="461"/>
      <c r="AS14" s="56" t="s">
        <v>44</v>
      </c>
      <c r="AU14" s="461" t="s">
        <v>34</v>
      </c>
      <c r="AV14" s="461"/>
      <c r="AW14" s="461"/>
      <c r="AX14" s="461"/>
      <c r="AY14" s="461"/>
      <c r="AZ14" s="56" t="s">
        <v>44</v>
      </c>
    </row>
    <row r="15" spans="1:52" x14ac:dyDescent="0.4">
      <c r="A15" s="38">
        <v>1</v>
      </c>
      <c r="B15" s="166">
        <f t="shared" ref="B15:B52" si="0">IF(C15=1,INDEX(暖房設備配列5地域,A15,暖房方式番号Z),0)</f>
        <v>33</v>
      </c>
      <c r="C15" s="37">
        <f>IF(AND(D15=1,E15=1),1,0)</f>
        <v>1</v>
      </c>
      <c r="D15" s="40">
        <f>IF(UA値z&lt;=R15,1,0)</f>
        <v>1</v>
      </c>
      <c r="E15" s="40">
        <f>IF(AND(S15&lt;=ηAH,ηAH&lt;W15),1,0)</f>
        <v>1</v>
      </c>
      <c r="F15" s="154">
        <f t="shared" ref="F15:F52" si="1">IF(E15=1,X15,0)</f>
        <v>33</v>
      </c>
      <c r="G15" s="155">
        <f t="shared" ref="G15:G52" si="2">IF(E15=1,AE15,0)</f>
        <v>34</v>
      </c>
      <c r="H15" s="155">
        <f t="shared" ref="H15:H52" si="3">IF(E15=1,AL15,0)</f>
        <v>44</v>
      </c>
      <c r="I15" s="155">
        <f t="shared" ref="I15:I52" si="4">IF(E15=1,AS15,0)</f>
        <v>44</v>
      </c>
      <c r="J15" s="156">
        <f t="shared" ref="J15:J52" si="5">IF(E15=1,AZ15,0)</f>
        <v>0</v>
      </c>
      <c r="N15" s="458"/>
      <c r="O15" s="459"/>
      <c r="P15" s="459" t="s">
        <v>45</v>
      </c>
      <c r="Q15" s="459" t="s">
        <v>42</v>
      </c>
      <c r="R15" s="465">
        <v>0.69</v>
      </c>
      <c r="S15" s="57">
        <v>2</v>
      </c>
      <c r="T15" s="47" t="s">
        <v>42</v>
      </c>
      <c r="U15" s="47" t="s">
        <v>43</v>
      </c>
      <c r="V15" s="47" t="s">
        <v>46</v>
      </c>
      <c r="W15" s="58">
        <v>2.5</v>
      </c>
      <c r="X15" s="59">
        <v>33</v>
      </c>
      <c r="Y15" s="60"/>
      <c r="Z15" s="57"/>
      <c r="AA15" s="47"/>
      <c r="AB15" s="47"/>
      <c r="AC15" s="47"/>
      <c r="AD15" s="58"/>
      <c r="AE15" s="59">
        <v>34</v>
      </c>
      <c r="AF15" s="60"/>
      <c r="AG15" s="57"/>
      <c r="AH15" s="47"/>
      <c r="AI15" s="47"/>
      <c r="AJ15" s="47"/>
      <c r="AK15" s="58"/>
      <c r="AL15" s="59">
        <v>44</v>
      </c>
      <c r="AM15" s="60"/>
      <c r="AN15" s="57"/>
      <c r="AO15" s="47"/>
      <c r="AP15" s="47"/>
      <c r="AQ15" s="47"/>
      <c r="AR15" s="58"/>
      <c r="AS15" s="61">
        <v>44</v>
      </c>
      <c r="AU15" s="57"/>
      <c r="AV15" s="47"/>
      <c r="AW15" s="47"/>
      <c r="AX15" s="47"/>
      <c r="AY15" s="58"/>
      <c r="AZ15" s="61">
        <v>0</v>
      </c>
    </row>
    <row r="16" spans="1:52" x14ac:dyDescent="0.4">
      <c r="A16" s="12">
        <f>A15+1</f>
        <v>2</v>
      </c>
      <c r="B16" s="167">
        <f t="shared" si="0"/>
        <v>0</v>
      </c>
      <c r="C16" s="1">
        <f t="shared" ref="C16:C26" si="6">IF(AND(D16=1,E16=1),1,0)</f>
        <v>0</v>
      </c>
      <c r="D16" s="41">
        <f>D15</f>
        <v>1</v>
      </c>
      <c r="E16" s="41">
        <f t="shared" ref="E16:E49" si="7">IF(AND(S16&lt;=ηAH,ηAH&lt;W16),1,0)</f>
        <v>0</v>
      </c>
      <c r="F16" s="157">
        <f t="shared" si="1"/>
        <v>0</v>
      </c>
      <c r="G16" s="158">
        <f t="shared" si="2"/>
        <v>0</v>
      </c>
      <c r="H16" s="158">
        <f t="shared" si="3"/>
        <v>0</v>
      </c>
      <c r="I16" s="158">
        <f t="shared" si="4"/>
        <v>0</v>
      </c>
      <c r="J16" s="159">
        <f t="shared" si="5"/>
        <v>0</v>
      </c>
      <c r="N16" s="456"/>
      <c r="O16" s="457"/>
      <c r="P16" s="457"/>
      <c r="Q16" s="457"/>
      <c r="R16" s="462"/>
      <c r="S16" s="53">
        <v>2.5</v>
      </c>
      <c r="T16" s="7" t="s">
        <v>42</v>
      </c>
      <c r="U16" s="7" t="s">
        <v>43</v>
      </c>
      <c r="V16" s="7" t="s">
        <v>46</v>
      </c>
      <c r="W16" s="52">
        <v>3</v>
      </c>
      <c r="X16" s="3">
        <v>31</v>
      </c>
      <c r="Z16" s="53"/>
      <c r="AA16" s="7"/>
      <c r="AB16" s="7"/>
      <c r="AC16" s="7"/>
      <c r="AD16" s="52"/>
      <c r="AE16" s="3">
        <v>32</v>
      </c>
      <c r="AG16" s="53"/>
      <c r="AH16" s="7"/>
      <c r="AI16" s="7"/>
      <c r="AJ16" s="7"/>
      <c r="AK16" s="52"/>
      <c r="AL16" s="3">
        <v>41</v>
      </c>
      <c r="AN16" s="53"/>
      <c r="AO16" s="7"/>
      <c r="AP16" s="7"/>
      <c r="AQ16" s="7"/>
      <c r="AR16" s="52"/>
      <c r="AS16" s="62">
        <v>41</v>
      </c>
      <c r="AU16" s="53"/>
      <c r="AV16" s="7"/>
      <c r="AW16" s="7"/>
      <c r="AX16" s="7"/>
      <c r="AY16" s="52"/>
      <c r="AZ16" s="62">
        <v>0</v>
      </c>
    </row>
    <row r="17" spans="1:52" x14ac:dyDescent="0.4">
      <c r="A17" s="12">
        <f t="shared" ref="A17:A52" si="8">A16+1</f>
        <v>3</v>
      </c>
      <c r="B17" s="167">
        <f t="shared" si="0"/>
        <v>0</v>
      </c>
      <c r="C17" s="1">
        <f t="shared" si="6"/>
        <v>0</v>
      </c>
      <c r="D17" s="41">
        <f>D15</f>
        <v>1</v>
      </c>
      <c r="E17" s="41">
        <f t="shared" si="7"/>
        <v>0</v>
      </c>
      <c r="F17" s="157">
        <f t="shared" si="1"/>
        <v>0</v>
      </c>
      <c r="G17" s="158">
        <f t="shared" si="2"/>
        <v>0</v>
      </c>
      <c r="H17" s="158">
        <f t="shared" si="3"/>
        <v>0</v>
      </c>
      <c r="I17" s="158">
        <f t="shared" si="4"/>
        <v>0</v>
      </c>
      <c r="J17" s="159">
        <f t="shared" si="5"/>
        <v>0</v>
      </c>
      <c r="N17" s="456"/>
      <c r="O17" s="457"/>
      <c r="P17" s="457"/>
      <c r="Q17" s="457"/>
      <c r="R17" s="462"/>
      <c r="S17" s="53">
        <v>3</v>
      </c>
      <c r="T17" s="7" t="s">
        <v>42</v>
      </c>
      <c r="U17" s="7" t="s">
        <v>43</v>
      </c>
      <c r="V17" s="7" t="s">
        <v>46</v>
      </c>
      <c r="W17" s="52">
        <v>3.5</v>
      </c>
      <c r="X17" s="3">
        <v>30</v>
      </c>
      <c r="Z17" s="53"/>
      <c r="AA17" s="7"/>
      <c r="AB17" s="7"/>
      <c r="AC17" s="7"/>
      <c r="AD17" s="52"/>
      <c r="AE17" s="3">
        <v>31</v>
      </c>
      <c r="AG17" s="53"/>
      <c r="AH17" s="7"/>
      <c r="AI17" s="7"/>
      <c r="AJ17" s="7"/>
      <c r="AK17" s="52"/>
      <c r="AL17" s="3">
        <v>38</v>
      </c>
      <c r="AN17" s="53"/>
      <c r="AO17" s="7"/>
      <c r="AP17" s="7"/>
      <c r="AQ17" s="7"/>
      <c r="AR17" s="52"/>
      <c r="AS17" s="62">
        <v>38</v>
      </c>
      <c r="AU17" s="53"/>
      <c r="AV17" s="7"/>
      <c r="AW17" s="7"/>
      <c r="AX17" s="7"/>
      <c r="AY17" s="52"/>
      <c r="AZ17" s="62">
        <v>0</v>
      </c>
    </row>
    <row r="18" spans="1:52" x14ac:dyDescent="0.4">
      <c r="A18" s="12">
        <f t="shared" si="8"/>
        <v>4</v>
      </c>
      <c r="B18" s="167">
        <f t="shared" si="0"/>
        <v>0</v>
      </c>
      <c r="C18" s="1">
        <f t="shared" si="6"/>
        <v>0</v>
      </c>
      <c r="D18" s="41">
        <f>D15</f>
        <v>1</v>
      </c>
      <c r="E18" s="41">
        <f t="shared" si="7"/>
        <v>0</v>
      </c>
      <c r="F18" s="157">
        <f t="shared" si="1"/>
        <v>0</v>
      </c>
      <c r="G18" s="158">
        <f t="shared" si="2"/>
        <v>0</v>
      </c>
      <c r="H18" s="158">
        <f t="shared" si="3"/>
        <v>0</v>
      </c>
      <c r="I18" s="158">
        <f t="shared" si="4"/>
        <v>0</v>
      </c>
      <c r="J18" s="159">
        <f t="shared" si="5"/>
        <v>0</v>
      </c>
      <c r="N18" s="456"/>
      <c r="O18" s="457"/>
      <c r="P18" s="457"/>
      <c r="Q18" s="457"/>
      <c r="R18" s="462"/>
      <c r="S18" s="53">
        <v>3.5</v>
      </c>
      <c r="T18" s="7" t="s">
        <v>42</v>
      </c>
      <c r="U18" s="7" t="s">
        <v>43</v>
      </c>
      <c r="V18" s="7" t="s">
        <v>46</v>
      </c>
      <c r="W18" s="52">
        <v>4</v>
      </c>
      <c r="X18" s="3">
        <v>28</v>
      </c>
      <c r="Z18" s="53"/>
      <c r="AA18" s="7"/>
      <c r="AB18" s="7"/>
      <c r="AC18" s="7"/>
      <c r="AD18" s="52"/>
      <c r="AE18" s="3">
        <v>29</v>
      </c>
      <c r="AG18" s="53"/>
      <c r="AH18" s="7"/>
      <c r="AI18" s="7"/>
      <c r="AJ18" s="7"/>
      <c r="AK18" s="52"/>
      <c r="AL18" s="3">
        <v>35</v>
      </c>
      <c r="AN18" s="53"/>
      <c r="AO18" s="7"/>
      <c r="AP18" s="7"/>
      <c r="AQ18" s="7"/>
      <c r="AR18" s="52"/>
      <c r="AS18" s="62">
        <v>34</v>
      </c>
      <c r="AU18" s="53"/>
      <c r="AV18" s="7"/>
      <c r="AW18" s="7"/>
      <c r="AX18" s="7"/>
      <c r="AY18" s="52"/>
      <c r="AZ18" s="62">
        <v>0</v>
      </c>
    </row>
    <row r="19" spans="1:52" x14ac:dyDescent="0.4">
      <c r="A19" s="12">
        <f t="shared" si="8"/>
        <v>5</v>
      </c>
      <c r="B19" s="167">
        <f t="shared" si="0"/>
        <v>0</v>
      </c>
      <c r="C19" s="1">
        <f>IF(AND(D19=1,E19=1),1,0)</f>
        <v>0</v>
      </c>
      <c r="D19" s="41">
        <f>D15</f>
        <v>1</v>
      </c>
      <c r="E19" s="41">
        <f t="shared" si="7"/>
        <v>0</v>
      </c>
      <c r="F19" s="157">
        <f t="shared" si="1"/>
        <v>0</v>
      </c>
      <c r="G19" s="158">
        <f t="shared" si="2"/>
        <v>0</v>
      </c>
      <c r="H19" s="158">
        <f t="shared" si="3"/>
        <v>0</v>
      </c>
      <c r="I19" s="158">
        <f t="shared" si="4"/>
        <v>0</v>
      </c>
      <c r="J19" s="159">
        <f t="shared" si="5"/>
        <v>0</v>
      </c>
      <c r="N19" s="456"/>
      <c r="O19" s="457"/>
      <c r="P19" s="457"/>
      <c r="Q19" s="457"/>
      <c r="R19" s="462"/>
      <c r="S19" s="53">
        <v>4</v>
      </c>
      <c r="T19" s="7" t="s">
        <v>42</v>
      </c>
      <c r="U19" s="7" t="s">
        <v>43</v>
      </c>
      <c r="V19" s="7" t="s">
        <v>46</v>
      </c>
      <c r="W19" s="52">
        <v>4.5</v>
      </c>
      <c r="X19" s="3">
        <v>27</v>
      </c>
      <c r="Z19" s="53"/>
      <c r="AA19" s="7"/>
      <c r="AB19" s="7"/>
      <c r="AC19" s="7"/>
      <c r="AD19" s="52"/>
      <c r="AE19" s="3">
        <v>28</v>
      </c>
      <c r="AG19" s="53"/>
      <c r="AH19" s="7"/>
      <c r="AI19" s="7"/>
      <c r="AJ19" s="7"/>
      <c r="AK19" s="52"/>
      <c r="AL19" s="3">
        <v>32</v>
      </c>
      <c r="AN19" s="53"/>
      <c r="AO19" s="7"/>
      <c r="AP19" s="7"/>
      <c r="AQ19" s="7"/>
      <c r="AR19" s="52"/>
      <c r="AS19" s="62">
        <v>32</v>
      </c>
      <c r="AU19" s="53"/>
      <c r="AV19" s="7"/>
      <c r="AW19" s="7"/>
      <c r="AX19" s="7"/>
      <c r="AY19" s="52"/>
      <c r="AZ19" s="62">
        <v>0</v>
      </c>
    </row>
    <row r="20" spans="1:52" ht="19.5" thickBot="1" x14ac:dyDescent="0.45">
      <c r="A20" s="12">
        <f t="shared" si="8"/>
        <v>6</v>
      </c>
      <c r="B20" s="167">
        <f t="shared" si="0"/>
        <v>0</v>
      </c>
      <c r="C20" s="43">
        <f t="shared" si="6"/>
        <v>0</v>
      </c>
      <c r="D20" s="42">
        <f>D15</f>
        <v>1</v>
      </c>
      <c r="E20" s="42">
        <f>IF(S20&lt;=ηAH,1,0)</f>
        <v>0</v>
      </c>
      <c r="F20" s="160">
        <f t="shared" si="1"/>
        <v>0</v>
      </c>
      <c r="G20" s="161">
        <f t="shared" si="2"/>
        <v>0</v>
      </c>
      <c r="H20" s="161">
        <f t="shared" si="3"/>
        <v>0</v>
      </c>
      <c r="I20" s="161">
        <f t="shared" si="4"/>
        <v>0</v>
      </c>
      <c r="J20" s="162">
        <f t="shared" si="5"/>
        <v>0</v>
      </c>
      <c r="N20" s="463"/>
      <c r="O20" s="464"/>
      <c r="P20" s="464"/>
      <c r="Q20" s="464"/>
      <c r="R20" s="466"/>
      <c r="S20" s="63">
        <v>4.5</v>
      </c>
      <c r="T20" s="48" t="s">
        <v>42</v>
      </c>
      <c r="U20" s="48" t="s">
        <v>43</v>
      </c>
      <c r="V20" s="48"/>
      <c r="W20" s="64"/>
      <c r="X20" s="65">
        <v>24</v>
      </c>
      <c r="Y20" s="46"/>
      <c r="Z20" s="63"/>
      <c r="AA20" s="48"/>
      <c r="AB20" s="48"/>
      <c r="AC20" s="48"/>
      <c r="AD20" s="64"/>
      <c r="AE20" s="65">
        <v>25</v>
      </c>
      <c r="AF20" s="46"/>
      <c r="AG20" s="63"/>
      <c r="AH20" s="48"/>
      <c r="AI20" s="48"/>
      <c r="AJ20" s="48"/>
      <c r="AK20" s="64"/>
      <c r="AL20" s="65">
        <v>29</v>
      </c>
      <c r="AM20" s="46"/>
      <c r="AN20" s="63"/>
      <c r="AO20" s="48"/>
      <c r="AP20" s="48"/>
      <c r="AQ20" s="48"/>
      <c r="AR20" s="64"/>
      <c r="AS20" s="66">
        <v>29</v>
      </c>
      <c r="AU20" s="63"/>
      <c r="AV20" s="48"/>
      <c r="AW20" s="48"/>
      <c r="AX20" s="48"/>
      <c r="AY20" s="64"/>
      <c r="AZ20" s="66">
        <v>0</v>
      </c>
    </row>
    <row r="21" spans="1:52" x14ac:dyDescent="0.4">
      <c r="A21" s="12">
        <f t="shared" si="8"/>
        <v>7</v>
      </c>
      <c r="B21" s="167">
        <f t="shared" si="0"/>
        <v>0</v>
      </c>
      <c r="C21" s="37">
        <f t="shared" si="6"/>
        <v>0</v>
      </c>
      <c r="D21" s="40">
        <f>IF(AND(N21&lt;UA値z,UA値z&lt;=R21),1,0)</f>
        <v>0</v>
      </c>
      <c r="E21" s="40">
        <f>IF(AND(S21&lt;=ηAH,ηAH&lt;W21),1,0)</f>
        <v>1</v>
      </c>
      <c r="F21" s="154">
        <f t="shared" si="1"/>
        <v>36</v>
      </c>
      <c r="G21" s="155">
        <f t="shared" si="2"/>
        <v>38</v>
      </c>
      <c r="H21" s="155">
        <f t="shared" si="3"/>
        <v>49</v>
      </c>
      <c r="I21" s="155">
        <f t="shared" si="4"/>
        <v>48</v>
      </c>
      <c r="J21" s="156">
        <f t="shared" si="5"/>
        <v>0</v>
      </c>
      <c r="N21" s="458">
        <v>0.69</v>
      </c>
      <c r="O21" s="459" t="s">
        <v>46</v>
      </c>
      <c r="P21" s="459" t="s">
        <v>45</v>
      </c>
      <c r="Q21" s="459" t="s">
        <v>42</v>
      </c>
      <c r="R21" s="465">
        <v>0.78</v>
      </c>
      <c r="S21" s="57">
        <v>2</v>
      </c>
      <c r="T21" s="47" t="s">
        <v>42</v>
      </c>
      <c r="U21" s="47" t="s">
        <v>43</v>
      </c>
      <c r="V21" s="47" t="s">
        <v>46</v>
      </c>
      <c r="W21" s="58">
        <v>2.5</v>
      </c>
      <c r="X21" s="59">
        <v>36</v>
      </c>
      <c r="Y21" s="60"/>
      <c r="Z21" s="57"/>
      <c r="AA21" s="47"/>
      <c r="AB21" s="47"/>
      <c r="AC21" s="47"/>
      <c r="AD21" s="58"/>
      <c r="AE21" s="59">
        <v>38</v>
      </c>
      <c r="AF21" s="60"/>
      <c r="AG21" s="57"/>
      <c r="AH21" s="47"/>
      <c r="AI21" s="47"/>
      <c r="AJ21" s="47"/>
      <c r="AK21" s="58"/>
      <c r="AL21" s="59">
        <v>49</v>
      </c>
      <c r="AM21" s="60"/>
      <c r="AN21" s="57"/>
      <c r="AO21" s="47"/>
      <c r="AP21" s="47"/>
      <c r="AQ21" s="47"/>
      <c r="AR21" s="58"/>
      <c r="AS21" s="61">
        <v>48</v>
      </c>
      <c r="AU21" s="57"/>
      <c r="AV21" s="47"/>
      <c r="AW21" s="47"/>
      <c r="AX21" s="47"/>
      <c r="AY21" s="58"/>
      <c r="AZ21" s="61">
        <v>0</v>
      </c>
    </row>
    <row r="22" spans="1:52" x14ac:dyDescent="0.4">
      <c r="A22" s="12">
        <f t="shared" si="8"/>
        <v>8</v>
      </c>
      <c r="B22" s="167">
        <f t="shared" si="0"/>
        <v>0</v>
      </c>
      <c r="C22" s="1">
        <f t="shared" si="6"/>
        <v>0</v>
      </c>
      <c r="D22" s="41">
        <f>D21</f>
        <v>0</v>
      </c>
      <c r="E22" s="41">
        <f t="shared" si="7"/>
        <v>0</v>
      </c>
      <c r="F22" s="157">
        <f t="shared" si="1"/>
        <v>0</v>
      </c>
      <c r="G22" s="158">
        <f t="shared" si="2"/>
        <v>0</v>
      </c>
      <c r="H22" s="158">
        <f t="shared" si="3"/>
        <v>0</v>
      </c>
      <c r="I22" s="158">
        <f t="shared" si="4"/>
        <v>0</v>
      </c>
      <c r="J22" s="159">
        <f t="shared" si="5"/>
        <v>0</v>
      </c>
      <c r="N22" s="456"/>
      <c r="O22" s="457"/>
      <c r="P22" s="457"/>
      <c r="Q22" s="457"/>
      <c r="R22" s="462"/>
      <c r="S22" s="53">
        <v>2.5</v>
      </c>
      <c r="T22" s="7" t="s">
        <v>42</v>
      </c>
      <c r="U22" s="7" t="s">
        <v>43</v>
      </c>
      <c r="V22" s="7" t="s">
        <v>46</v>
      </c>
      <c r="W22" s="52">
        <v>3</v>
      </c>
      <c r="X22" s="3">
        <v>35</v>
      </c>
      <c r="Z22" s="53"/>
      <c r="AA22" s="7"/>
      <c r="AB22" s="7"/>
      <c r="AC22" s="7"/>
      <c r="AD22" s="52"/>
      <c r="AE22" s="3">
        <v>36</v>
      </c>
      <c r="AG22" s="53"/>
      <c r="AH22" s="7"/>
      <c r="AI22" s="7"/>
      <c r="AJ22" s="7"/>
      <c r="AK22" s="52"/>
      <c r="AL22" s="3">
        <v>46</v>
      </c>
      <c r="AN22" s="53"/>
      <c r="AO22" s="7"/>
      <c r="AP22" s="7"/>
      <c r="AQ22" s="7"/>
      <c r="AR22" s="52"/>
      <c r="AS22" s="62">
        <v>45</v>
      </c>
      <c r="AU22" s="53"/>
      <c r="AV22" s="7"/>
      <c r="AW22" s="7"/>
      <c r="AX22" s="7"/>
      <c r="AY22" s="52"/>
      <c r="AZ22" s="62">
        <v>0</v>
      </c>
    </row>
    <row r="23" spans="1:52" x14ac:dyDescent="0.4">
      <c r="A23" s="12">
        <f t="shared" si="8"/>
        <v>9</v>
      </c>
      <c r="B23" s="167">
        <f t="shared" si="0"/>
        <v>0</v>
      </c>
      <c r="C23" s="1">
        <f t="shared" si="6"/>
        <v>0</v>
      </c>
      <c r="D23" s="41">
        <f>D21</f>
        <v>0</v>
      </c>
      <c r="E23" s="41">
        <f t="shared" si="7"/>
        <v>0</v>
      </c>
      <c r="F23" s="157">
        <f t="shared" si="1"/>
        <v>0</v>
      </c>
      <c r="G23" s="158">
        <f t="shared" si="2"/>
        <v>0</v>
      </c>
      <c r="H23" s="158">
        <f t="shared" si="3"/>
        <v>0</v>
      </c>
      <c r="I23" s="158">
        <f t="shared" si="4"/>
        <v>0</v>
      </c>
      <c r="J23" s="159">
        <f t="shared" si="5"/>
        <v>0</v>
      </c>
      <c r="N23" s="456"/>
      <c r="O23" s="457"/>
      <c r="P23" s="457"/>
      <c r="Q23" s="457"/>
      <c r="R23" s="462"/>
      <c r="S23" s="53">
        <v>3</v>
      </c>
      <c r="T23" s="7" t="s">
        <v>42</v>
      </c>
      <c r="U23" s="7" t="s">
        <v>43</v>
      </c>
      <c r="V23" s="7" t="s">
        <v>46</v>
      </c>
      <c r="W23" s="52">
        <v>3.5</v>
      </c>
      <c r="X23" s="3">
        <v>33</v>
      </c>
      <c r="Z23" s="53"/>
      <c r="AA23" s="7"/>
      <c r="AB23" s="7"/>
      <c r="AC23" s="7"/>
      <c r="AD23" s="52"/>
      <c r="AE23" s="3">
        <v>34</v>
      </c>
      <c r="AG23" s="53"/>
      <c r="AH23" s="7"/>
      <c r="AI23" s="7"/>
      <c r="AJ23" s="7"/>
      <c r="AK23" s="52"/>
      <c r="AL23" s="3">
        <v>42</v>
      </c>
      <c r="AN23" s="53"/>
      <c r="AO23" s="7"/>
      <c r="AP23" s="7"/>
      <c r="AQ23" s="7"/>
      <c r="AR23" s="52"/>
      <c r="AS23" s="62">
        <v>42</v>
      </c>
      <c r="AU23" s="53"/>
      <c r="AV23" s="7"/>
      <c r="AW23" s="7"/>
      <c r="AX23" s="7"/>
      <c r="AY23" s="52"/>
      <c r="AZ23" s="62">
        <v>0</v>
      </c>
    </row>
    <row r="24" spans="1:52" x14ac:dyDescent="0.4">
      <c r="A24" s="12">
        <f t="shared" si="8"/>
        <v>10</v>
      </c>
      <c r="B24" s="167">
        <f t="shared" si="0"/>
        <v>0</v>
      </c>
      <c r="C24" s="1">
        <f t="shared" si="6"/>
        <v>0</v>
      </c>
      <c r="D24" s="41">
        <f>D21</f>
        <v>0</v>
      </c>
      <c r="E24" s="41">
        <f t="shared" si="7"/>
        <v>0</v>
      </c>
      <c r="F24" s="157">
        <f t="shared" si="1"/>
        <v>0</v>
      </c>
      <c r="G24" s="158">
        <f t="shared" si="2"/>
        <v>0</v>
      </c>
      <c r="H24" s="158">
        <f t="shared" si="3"/>
        <v>0</v>
      </c>
      <c r="I24" s="158">
        <f t="shared" si="4"/>
        <v>0</v>
      </c>
      <c r="J24" s="159">
        <f t="shared" si="5"/>
        <v>0</v>
      </c>
      <c r="N24" s="456"/>
      <c r="O24" s="457"/>
      <c r="P24" s="457"/>
      <c r="Q24" s="457"/>
      <c r="R24" s="462"/>
      <c r="S24" s="53">
        <v>3.5</v>
      </c>
      <c r="T24" s="7" t="s">
        <v>42</v>
      </c>
      <c r="U24" s="7" t="s">
        <v>43</v>
      </c>
      <c r="V24" s="7" t="s">
        <v>46</v>
      </c>
      <c r="W24" s="52">
        <v>4</v>
      </c>
      <c r="X24" s="3">
        <v>31</v>
      </c>
      <c r="Z24" s="53"/>
      <c r="AA24" s="7"/>
      <c r="AB24" s="7"/>
      <c r="AC24" s="7"/>
      <c r="AD24" s="52"/>
      <c r="AE24" s="3">
        <v>32</v>
      </c>
      <c r="AG24" s="53"/>
      <c r="AH24" s="7"/>
      <c r="AI24" s="7"/>
      <c r="AJ24" s="7"/>
      <c r="AK24" s="52"/>
      <c r="AL24" s="3">
        <v>39</v>
      </c>
      <c r="AN24" s="53"/>
      <c r="AO24" s="7"/>
      <c r="AP24" s="7"/>
      <c r="AQ24" s="7"/>
      <c r="AR24" s="52"/>
      <c r="AS24" s="62">
        <v>39</v>
      </c>
      <c r="AU24" s="53"/>
      <c r="AV24" s="7"/>
      <c r="AW24" s="7"/>
      <c r="AX24" s="7"/>
      <c r="AY24" s="52"/>
      <c r="AZ24" s="62">
        <v>0</v>
      </c>
    </row>
    <row r="25" spans="1:52" x14ac:dyDescent="0.4">
      <c r="A25" s="12">
        <f t="shared" si="8"/>
        <v>11</v>
      </c>
      <c r="B25" s="167">
        <f t="shared" si="0"/>
        <v>0</v>
      </c>
      <c r="C25" s="1">
        <f t="shared" si="6"/>
        <v>0</v>
      </c>
      <c r="D25" s="41">
        <f>D21</f>
        <v>0</v>
      </c>
      <c r="E25" s="41">
        <f t="shared" si="7"/>
        <v>0</v>
      </c>
      <c r="F25" s="157">
        <f t="shared" si="1"/>
        <v>0</v>
      </c>
      <c r="G25" s="158">
        <f t="shared" si="2"/>
        <v>0</v>
      </c>
      <c r="H25" s="158">
        <f t="shared" si="3"/>
        <v>0</v>
      </c>
      <c r="I25" s="158">
        <f t="shared" si="4"/>
        <v>0</v>
      </c>
      <c r="J25" s="159">
        <f t="shared" si="5"/>
        <v>0</v>
      </c>
      <c r="N25" s="456"/>
      <c r="O25" s="457"/>
      <c r="P25" s="457"/>
      <c r="Q25" s="457"/>
      <c r="R25" s="462"/>
      <c r="S25" s="53">
        <v>4</v>
      </c>
      <c r="T25" s="7" t="s">
        <v>42</v>
      </c>
      <c r="U25" s="7" t="s">
        <v>43</v>
      </c>
      <c r="V25" s="7" t="s">
        <v>46</v>
      </c>
      <c r="W25" s="52">
        <v>4.5</v>
      </c>
      <c r="X25" s="3">
        <v>30</v>
      </c>
      <c r="Z25" s="53"/>
      <c r="AA25" s="7"/>
      <c r="AB25" s="7"/>
      <c r="AC25" s="7"/>
      <c r="AD25" s="52"/>
      <c r="AE25" s="3">
        <v>31</v>
      </c>
      <c r="AG25" s="53"/>
      <c r="AH25" s="7"/>
      <c r="AI25" s="7"/>
      <c r="AJ25" s="7"/>
      <c r="AK25" s="52"/>
      <c r="AL25" s="3">
        <v>37</v>
      </c>
      <c r="AN25" s="53"/>
      <c r="AO25" s="7"/>
      <c r="AP25" s="7"/>
      <c r="AQ25" s="7"/>
      <c r="AR25" s="52"/>
      <c r="AS25" s="62">
        <v>36</v>
      </c>
      <c r="AU25" s="53"/>
      <c r="AV25" s="7"/>
      <c r="AW25" s="7"/>
      <c r="AX25" s="7"/>
      <c r="AY25" s="52"/>
      <c r="AZ25" s="62">
        <v>0</v>
      </c>
    </row>
    <row r="26" spans="1:52" ht="19.5" thickBot="1" x14ac:dyDescent="0.45">
      <c r="A26" s="12">
        <f t="shared" si="8"/>
        <v>12</v>
      </c>
      <c r="B26" s="167">
        <f t="shared" si="0"/>
        <v>0</v>
      </c>
      <c r="C26" s="1">
        <f t="shared" si="6"/>
        <v>0</v>
      </c>
      <c r="D26" s="41">
        <f>D21</f>
        <v>0</v>
      </c>
      <c r="E26" s="42">
        <f>IF(S26&lt;=ηAH,1,0)</f>
        <v>0</v>
      </c>
      <c r="F26" s="160">
        <f t="shared" si="1"/>
        <v>0</v>
      </c>
      <c r="G26" s="161">
        <f t="shared" si="2"/>
        <v>0</v>
      </c>
      <c r="H26" s="161">
        <f t="shared" si="3"/>
        <v>0</v>
      </c>
      <c r="I26" s="161">
        <f t="shared" si="4"/>
        <v>0</v>
      </c>
      <c r="J26" s="162">
        <f t="shared" si="5"/>
        <v>0</v>
      </c>
      <c r="N26" s="463"/>
      <c r="O26" s="464"/>
      <c r="P26" s="464"/>
      <c r="Q26" s="464"/>
      <c r="R26" s="466"/>
      <c r="S26" s="63">
        <v>4.5</v>
      </c>
      <c r="T26" s="48" t="s">
        <v>42</v>
      </c>
      <c r="U26" s="48" t="s">
        <v>43</v>
      </c>
      <c r="V26" s="48"/>
      <c r="W26" s="67"/>
      <c r="X26" s="65">
        <v>27</v>
      </c>
      <c r="Y26" s="46"/>
      <c r="Z26" s="63"/>
      <c r="AA26" s="48"/>
      <c r="AB26" s="48"/>
      <c r="AC26" s="48"/>
      <c r="AD26" s="67"/>
      <c r="AE26" s="65">
        <v>28</v>
      </c>
      <c r="AF26" s="46"/>
      <c r="AG26" s="63"/>
      <c r="AH26" s="48"/>
      <c r="AI26" s="48"/>
      <c r="AJ26" s="48"/>
      <c r="AK26" s="67"/>
      <c r="AL26" s="65">
        <v>33</v>
      </c>
      <c r="AM26" s="46"/>
      <c r="AN26" s="63"/>
      <c r="AO26" s="48"/>
      <c r="AP26" s="48"/>
      <c r="AQ26" s="48"/>
      <c r="AR26" s="67"/>
      <c r="AS26" s="66">
        <v>33</v>
      </c>
      <c r="AU26" s="63"/>
      <c r="AV26" s="48"/>
      <c r="AW26" s="48"/>
      <c r="AX26" s="48"/>
      <c r="AY26" s="67"/>
      <c r="AZ26" s="66">
        <v>0</v>
      </c>
    </row>
    <row r="27" spans="1:52" x14ac:dyDescent="0.4">
      <c r="A27" s="12">
        <f t="shared" si="8"/>
        <v>13</v>
      </c>
      <c r="B27" s="167">
        <f t="shared" si="0"/>
        <v>0</v>
      </c>
      <c r="C27" s="37">
        <f>IF(AND(D27=1,E27=1),1,0)</f>
        <v>0</v>
      </c>
      <c r="D27" s="40">
        <f>IF(AND(N27&lt;UA値z,UA値z&lt;=R27),1,0)</f>
        <v>0</v>
      </c>
      <c r="E27" s="40">
        <f t="shared" si="7"/>
        <v>1</v>
      </c>
      <c r="F27" s="154">
        <f t="shared" si="1"/>
        <v>40</v>
      </c>
      <c r="G27" s="155">
        <f t="shared" si="2"/>
        <v>42</v>
      </c>
      <c r="H27" s="155">
        <f t="shared" si="3"/>
        <v>53</v>
      </c>
      <c r="I27" s="155">
        <f t="shared" si="4"/>
        <v>53</v>
      </c>
      <c r="J27" s="156">
        <f t="shared" si="5"/>
        <v>0</v>
      </c>
      <c r="N27" s="458">
        <v>0.78</v>
      </c>
      <c r="O27" s="459" t="s">
        <v>46</v>
      </c>
      <c r="P27" s="459" t="s">
        <v>45</v>
      </c>
      <c r="Q27" s="459" t="s">
        <v>42</v>
      </c>
      <c r="R27" s="465">
        <v>0.87</v>
      </c>
      <c r="S27" s="57">
        <v>2</v>
      </c>
      <c r="T27" s="47" t="s">
        <v>42</v>
      </c>
      <c r="U27" s="47" t="s">
        <v>43</v>
      </c>
      <c r="V27" s="47" t="s">
        <v>46</v>
      </c>
      <c r="W27" s="58">
        <v>2.5</v>
      </c>
      <c r="X27" s="59">
        <v>40</v>
      </c>
      <c r="Y27" s="60"/>
      <c r="Z27" s="57"/>
      <c r="AA27" s="47"/>
      <c r="AB27" s="47"/>
      <c r="AC27" s="47"/>
      <c r="AD27" s="58"/>
      <c r="AE27" s="59">
        <v>42</v>
      </c>
      <c r="AF27" s="60"/>
      <c r="AG27" s="57"/>
      <c r="AH27" s="47"/>
      <c r="AI27" s="47"/>
      <c r="AJ27" s="47"/>
      <c r="AK27" s="58"/>
      <c r="AL27" s="59">
        <v>53</v>
      </c>
      <c r="AM27" s="60"/>
      <c r="AN27" s="57"/>
      <c r="AO27" s="47"/>
      <c r="AP27" s="47"/>
      <c r="AQ27" s="47"/>
      <c r="AR27" s="58"/>
      <c r="AS27" s="61">
        <v>53</v>
      </c>
      <c r="AU27" s="57"/>
      <c r="AV27" s="47"/>
      <c r="AW27" s="47"/>
      <c r="AX27" s="47"/>
      <c r="AY27" s="58"/>
      <c r="AZ27" s="61">
        <v>0</v>
      </c>
    </row>
    <row r="28" spans="1:52" x14ac:dyDescent="0.4">
      <c r="A28" s="12">
        <f t="shared" si="8"/>
        <v>14</v>
      </c>
      <c r="B28" s="167">
        <f t="shared" si="0"/>
        <v>0</v>
      </c>
      <c r="C28" s="1">
        <f t="shared" ref="C28:C32" si="9">IF(AND(D28=1,E28=1),1,0)</f>
        <v>0</v>
      </c>
      <c r="D28" s="41">
        <f>D27</f>
        <v>0</v>
      </c>
      <c r="E28" s="41">
        <f t="shared" si="7"/>
        <v>0</v>
      </c>
      <c r="F28" s="157">
        <f t="shared" si="1"/>
        <v>0</v>
      </c>
      <c r="G28" s="158">
        <f t="shared" si="2"/>
        <v>0</v>
      </c>
      <c r="H28" s="158">
        <f t="shared" si="3"/>
        <v>0</v>
      </c>
      <c r="I28" s="158">
        <f t="shared" si="4"/>
        <v>0</v>
      </c>
      <c r="J28" s="159">
        <f t="shared" si="5"/>
        <v>0</v>
      </c>
      <c r="N28" s="456"/>
      <c r="O28" s="457"/>
      <c r="P28" s="457"/>
      <c r="Q28" s="457"/>
      <c r="R28" s="462"/>
      <c r="S28" s="53">
        <v>2.5</v>
      </c>
      <c r="T28" s="7" t="s">
        <v>42</v>
      </c>
      <c r="U28" s="7" t="s">
        <v>43</v>
      </c>
      <c r="V28" s="7" t="s">
        <v>46</v>
      </c>
      <c r="W28" s="52">
        <v>3</v>
      </c>
      <c r="X28" s="3">
        <v>38</v>
      </c>
      <c r="Z28" s="53"/>
      <c r="AA28" s="7"/>
      <c r="AB28" s="7"/>
      <c r="AC28" s="7"/>
      <c r="AD28" s="52"/>
      <c r="AE28" s="3">
        <v>40</v>
      </c>
      <c r="AG28" s="53"/>
      <c r="AH28" s="7"/>
      <c r="AI28" s="7"/>
      <c r="AJ28" s="7"/>
      <c r="AK28" s="52"/>
      <c r="AL28" s="3">
        <v>50</v>
      </c>
      <c r="AN28" s="53"/>
      <c r="AO28" s="7"/>
      <c r="AP28" s="7"/>
      <c r="AQ28" s="7"/>
      <c r="AR28" s="52"/>
      <c r="AS28" s="62">
        <v>50</v>
      </c>
      <c r="AU28" s="53"/>
      <c r="AV28" s="7"/>
      <c r="AW28" s="7"/>
      <c r="AX28" s="7"/>
      <c r="AY28" s="52"/>
      <c r="AZ28" s="62">
        <v>0</v>
      </c>
    </row>
    <row r="29" spans="1:52" x14ac:dyDescent="0.4">
      <c r="A29" s="12">
        <f t="shared" si="8"/>
        <v>15</v>
      </c>
      <c r="B29" s="167">
        <f t="shared" si="0"/>
        <v>0</v>
      </c>
      <c r="C29" s="1">
        <f t="shared" si="9"/>
        <v>0</v>
      </c>
      <c r="D29" s="41">
        <f>D27</f>
        <v>0</v>
      </c>
      <c r="E29" s="41">
        <f t="shared" si="7"/>
        <v>0</v>
      </c>
      <c r="F29" s="157">
        <f t="shared" si="1"/>
        <v>0</v>
      </c>
      <c r="G29" s="158">
        <f t="shared" si="2"/>
        <v>0</v>
      </c>
      <c r="H29" s="158">
        <f t="shared" si="3"/>
        <v>0</v>
      </c>
      <c r="I29" s="158">
        <f t="shared" si="4"/>
        <v>0</v>
      </c>
      <c r="J29" s="159">
        <f t="shared" si="5"/>
        <v>0</v>
      </c>
      <c r="N29" s="456"/>
      <c r="O29" s="457"/>
      <c r="P29" s="457"/>
      <c r="Q29" s="457"/>
      <c r="R29" s="462"/>
      <c r="S29" s="53">
        <v>3</v>
      </c>
      <c r="T29" s="7" t="s">
        <v>42</v>
      </c>
      <c r="U29" s="7" t="s">
        <v>43</v>
      </c>
      <c r="V29" s="7" t="s">
        <v>46</v>
      </c>
      <c r="W29" s="52">
        <v>3.5</v>
      </c>
      <c r="X29" s="3">
        <v>36</v>
      </c>
      <c r="Z29" s="53"/>
      <c r="AA29" s="7"/>
      <c r="AB29" s="7"/>
      <c r="AC29" s="7"/>
      <c r="AD29" s="52"/>
      <c r="AE29" s="3">
        <v>38</v>
      </c>
      <c r="AG29" s="53"/>
      <c r="AH29" s="7"/>
      <c r="AI29" s="7"/>
      <c r="AJ29" s="7"/>
      <c r="AK29" s="52"/>
      <c r="AL29" s="3">
        <v>47</v>
      </c>
      <c r="AN29" s="53"/>
      <c r="AO29" s="7"/>
      <c r="AP29" s="7"/>
      <c r="AQ29" s="7"/>
      <c r="AR29" s="52"/>
      <c r="AS29" s="62">
        <v>47</v>
      </c>
      <c r="AU29" s="53"/>
      <c r="AV29" s="7"/>
      <c r="AW29" s="7"/>
      <c r="AX29" s="7"/>
      <c r="AY29" s="52"/>
      <c r="AZ29" s="62">
        <v>0</v>
      </c>
    </row>
    <row r="30" spans="1:52" x14ac:dyDescent="0.4">
      <c r="A30" s="12">
        <f t="shared" si="8"/>
        <v>16</v>
      </c>
      <c r="B30" s="167">
        <f t="shared" si="0"/>
        <v>0</v>
      </c>
      <c r="C30" s="1">
        <f t="shared" si="9"/>
        <v>0</v>
      </c>
      <c r="D30" s="41">
        <f>D27</f>
        <v>0</v>
      </c>
      <c r="E30" s="41">
        <f t="shared" si="7"/>
        <v>0</v>
      </c>
      <c r="F30" s="157">
        <f t="shared" si="1"/>
        <v>0</v>
      </c>
      <c r="G30" s="158">
        <f t="shared" si="2"/>
        <v>0</v>
      </c>
      <c r="H30" s="158">
        <f t="shared" si="3"/>
        <v>0</v>
      </c>
      <c r="I30" s="158">
        <f t="shared" si="4"/>
        <v>0</v>
      </c>
      <c r="J30" s="159">
        <f t="shared" si="5"/>
        <v>0</v>
      </c>
      <c r="N30" s="456"/>
      <c r="O30" s="457"/>
      <c r="P30" s="457"/>
      <c r="Q30" s="457"/>
      <c r="R30" s="462"/>
      <c r="S30" s="53">
        <v>3.5</v>
      </c>
      <c r="T30" s="7" t="s">
        <v>42</v>
      </c>
      <c r="U30" s="7" t="s">
        <v>43</v>
      </c>
      <c r="V30" s="7" t="s">
        <v>46</v>
      </c>
      <c r="W30" s="52">
        <v>4</v>
      </c>
      <c r="X30" s="3">
        <v>35</v>
      </c>
      <c r="Z30" s="53"/>
      <c r="AA30" s="7"/>
      <c r="AB30" s="7"/>
      <c r="AC30" s="7"/>
      <c r="AD30" s="52"/>
      <c r="AE30" s="3">
        <v>36</v>
      </c>
      <c r="AG30" s="53"/>
      <c r="AH30" s="7"/>
      <c r="AI30" s="7"/>
      <c r="AJ30" s="7"/>
      <c r="AK30" s="52"/>
      <c r="AL30" s="3">
        <v>44</v>
      </c>
      <c r="AN30" s="53"/>
      <c r="AO30" s="7"/>
      <c r="AP30" s="7"/>
      <c r="AQ30" s="7"/>
      <c r="AR30" s="52"/>
      <c r="AS30" s="62">
        <v>43</v>
      </c>
      <c r="AU30" s="53"/>
      <c r="AV30" s="7"/>
      <c r="AW30" s="7"/>
      <c r="AX30" s="7"/>
      <c r="AY30" s="52"/>
      <c r="AZ30" s="62">
        <v>0</v>
      </c>
    </row>
    <row r="31" spans="1:52" x14ac:dyDescent="0.4">
      <c r="A31" s="12">
        <f t="shared" si="8"/>
        <v>17</v>
      </c>
      <c r="B31" s="167">
        <f t="shared" si="0"/>
        <v>0</v>
      </c>
      <c r="C31" s="1">
        <f t="shared" si="9"/>
        <v>0</v>
      </c>
      <c r="D31" s="41">
        <f>D27</f>
        <v>0</v>
      </c>
      <c r="E31" s="41">
        <f t="shared" si="7"/>
        <v>0</v>
      </c>
      <c r="F31" s="157">
        <f t="shared" si="1"/>
        <v>0</v>
      </c>
      <c r="G31" s="158">
        <f t="shared" si="2"/>
        <v>0</v>
      </c>
      <c r="H31" s="158">
        <f t="shared" si="3"/>
        <v>0</v>
      </c>
      <c r="I31" s="158">
        <f t="shared" si="4"/>
        <v>0</v>
      </c>
      <c r="J31" s="159">
        <f t="shared" si="5"/>
        <v>0</v>
      </c>
      <c r="N31" s="456"/>
      <c r="O31" s="457"/>
      <c r="P31" s="457"/>
      <c r="Q31" s="457"/>
      <c r="R31" s="462"/>
      <c r="S31" s="53">
        <v>4</v>
      </c>
      <c r="T31" s="7" t="s">
        <v>42</v>
      </c>
      <c r="U31" s="7" t="s">
        <v>43</v>
      </c>
      <c r="V31" s="7" t="s">
        <v>46</v>
      </c>
      <c r="W31" s="52">
        <v>4.5</v>
      </c>
      <c r="X31" s="3">
        <v>33</v>
      </c>
      <c r="Z31" s="53"/>
      <c r="AA31" s="7"/>
      <c r="AB31" s="7"/>
      <c r="AC31" s="7"/>
      <c r="AD31" s="52"/>
      <c r="AE31" s="3">
        <v>34</v>
      </c>
      <c r="AG31" s="53"/>
      <c r="AH31" s="7"/>
      <c r="AI31" s="7"/>
      <c r="AJ31" s="7"/>
      <c r="AK31" s="52"/>
      <c r="AL31" s="3">
        <v>41</v>
      </c>
      <c r="AN31" s="53"/>
      <c r="AO31" s="7"/>
      <c r="AP31" s="7"/>
      <c r="AQ31" s="7"/>
      <c r="AR31" s="52"/>
      <c r="AS31" s="62">
        <v>40</v>
      </c>
      <c r="AU31" s="53"/>
      <c r="AV31" s="7"/>
      <c r="AW31" s="7"/>
      <c r="AX31" s="7"/>
      <c r="AY31" s="52"/>
      <c r="AZ31" s="62">
        <v>0</v>
      </c>
    </row>
    <row r="32" spans="1:52" ht="19.5" thickBot="1" x14ac:dyDescent="0.45">
      <c r="A32" s="12">
        <f t="shared" si="8"/>
        <v>18</v>
      </c>
      <c r="B32" s="167">
        <f t="shared" si="0"/>
        <v>0</v>
      </c>
      <c r="C32" s="43">
        <f t="shared" si="9"/>
        <v>0</v>
      </c>
      <c r="D32" s="42">
        <f>D27</f>
        <v>0</v>
      </c>
      <c r="E32" s="42">
        <f>IF(S32&lt;=ηAH,1,0)</f>
        <v>0</v>
      </c>
      <c r="F32" s="160">
        <f t="shared" si="1"/>
        <v>0</v>
      </c>
      <c r="G32" s="161">
        <f t="shared" si="2"/>
        <v>0</v>
      </c>
      <c r="H32" s="161">
        <f t="shared" si="3"/>
        <v>0</v>
      </c>
      <c r="I32" s="161">
        <f t="shared" si="4"/>
        <v>0</v>
      </c>
      <c r="J32" s="162">
        <f t="shared" si="5"/>
        <v>0</v>
      </c>
      <c r="N32" s="463"/>
      <c r="O32" s="464"/>
      <c r="P32" s="464"/>
      <c r="Q32" s="464"/>
      <c r="R32" s="466"/>
      <c r="S32" s="63">
        <v>4.5</v>
      </c>
      <c r="T32" s="48" t="s">
        <v>42</v>
      </c>
      <c r="U32" s="48" t="s">
        <v>43</v>
      </c>
      <c r="V32" s="48"/>
      <c r="W32" s="67"/>
      <c r="X32" s="65">
        <v>30</v>
      </c>
      <c r="Y32" s="46"/>
      <c r="Z32" s="63"/>
      <c r="AA32" s="48"/>
      <c r="AB32" s="48"/>
      <c r="AC32" s="48"/>
      <c r="AD32" s="67"/>
      <c r="AE32" s="65">
        <v>31</v>
      </c>
      <c r="AF32" s="46"/>
      <c r="AG32" s="63"/>
      <c r="AH32" s="48"/>
      <c r="AI32" s="48"/>
      <c r="AJ32" s="48"/>
      <c r="AK32" s="67"/>
      <c r="AL32" s="65">
        <v>37</v>
      </c>
      <c r="AM32" s="46"/>
      <c r="AN32" s="63"/>
      <c r="AO32" s="48"/>
      <c r="AP32" s="48"/>
      <c r="AQ32" s="48"/>
      <c r="AR32" s="67"/>
      <c r="AS32" s="66">
        <v>37</v>
      </c>
      <c r="AU32" s="63"/>
      <c r="AV32" s="48"/>
      <c r="AW32" s="48"/>
      <c r="AX32" s="48"/>
      <c r="AY32" s="67"/>
      <c r="AZ32" s="66">
        <v>0</v>
      </c>
    </row>
    <row r="33" spans="1:52" x14ac:dyDescent="0.4">
      <c r="A33" s="12">
        <f t="shared" si="8"/>
        <v>19</v>
      </c>
      <c r="B33" s="167">
        <f t="shared" si="0"/>
        <v>0</v>
      </c>
      <c r="C33" s="37">
        <f>IF(AND(D33=1,E33=1),1,0)</f>
        <v>0</v>
      </c>
      <c r="D33" s="41">
        <f>IF(AND(N33&lt;UA値z,UA値z&lt;=R33),1,0)</f>
        <v>0</v>
      </c>
      <c r="E33" s="41">
        <f t="shared" si="7"/>
        <v>1</v>
      </c>
      <c r="F33" s="157">
        <f t="shared" si="1"/>
        <v>48</v>
      </c>
      <c r="G33" s="158">
        <f t="shared" si="2"/>
        <v>50</v>
      </c>
      <c r="H33" s="158">
        <f t="shared" si="3"/>
        <v>62</v>
      </c>
      <c r="I33" s="158">
        <f t="shared" si="4"/>
        <v>61</v>
      </c>
      <c r="J33" s="159">
        <f t="shared" si="5"/>
        <v>0</v>
      </c>
      <c r="N33" s="458">
        <v>0.87</v>
      </c>
      <c r="O33" s="459" t="s">
        <v>46</v>
      </c>
      <c r="P33" s="459" t="s">
        <v>45</v>
      </c>
      <c r="Q33" s="459" t="s">
        <v>42</v>
      </c>
      <c r="R33" s="465">
        <v>1.1000000000000001</v>
      </c>
      <c r="S33" s="57">
        <v>2</v>
      </c>
      <c r="T33" s="47" t="s">
        <v>42</v>
      </c>
      <c r="U33" s="47" t="s">
        <v>43</v>
      </c>
      <c r="V33" s="47" t="s">
        <v>46</v>
      </c>
      <c r="W33" s="58">
        <v>2.5</v>
      </c>
      <c r="X33" s="59">
        <v>48</v>
      </c>
      <c r="Y33" s="60"/>
      <c r="Z33" s="57"/>
      <c r="AA33" s="47"/>
      <c r="AB33" s="47"/>
      <c r="AC33" s="47"/>
      <c r="AD33" s="58"/>
      <c r="AE33" s="59">
        <v>50</v>
      </c>
      <c r="AF33" s="60"/>
      <c r="AG33" s="57"/>
      <c r="AH33" s="47"/>
      <c r="AI33" s="47"/>
      <c r="AJ33" s="47"/>
      <c r="AK33" s="58"/>
      <c r="AL33" s="59">
        <v>62</v>
      </c>
      <c r="AM33" s="60"/>
      <c r="AN33" s="57"/>
      <c r="AO33" s="47"/>
      <c r="AP33" s="47"/>
      <c r="AQ33" s="47"/>
      <c r="AR33" s="58"/>
      <c r="AS33" s="61">
        <v>61</v>
      </c>
      <c r="AU33" s="57"/>
      <c r="AV33" s="47"/>
      <c r="AW33" s="47"/>
      <c r="AX33" s="47"/>
      <c r="AY33" s="58"/>
      <c r="AZ33" s="61">
        <v>0</v>
      </c>
    </row>
    <row r="34" spans="1:52" x14ac:dyDescent="0.4">
      <c r="A34" s="12">
        <f t="shared" si="8"/>
        <v>20</v>
      </c>
      <c r="B34" s="167">
        <f t="shared" si="0"/>
        <v>0</v>
      </c>
      <c r="C34" s="1">
        <f t="shared" ref="C34:C38" si="10">IF(AND(D34=1,E34=1),1,0)</f>
        <v>0</v>
      </c>
      <c r="D34" s="41">
        <f>D33</f>
        <v>0</v>
      </c>
      <c r="E34" s="41">
        <f t="shared" si="7"/>
        <v>0</v>
      </c>
      <c r="F34" s="157">
        <f t="shared" si="1"/>
        <v>0</v>
      </c>
      <c r="G34" s="158">
        <f t="shared" si="2"/>
        <v>0</v>
      </c>
      <c r="H34" s="158">
        <f t="shared" si="3"/>
        <v>0</v>
      </c>
      <c r="I34" s="158">
        <f t="shared" si="4"/>
        <v>0</v>
      </c>
      <c r="J34" s="159">
        <f t="shared" si="5"/>
        <v>0</v>
      </c>
      <c r="N34" s="456"/>
      <c r="O34" s="457"/>
      <c r="P34" s="457"/>
      <c r="Q34" s="457"/>
      <c r="R34" s="462"/>
      <c r="S34" s="53">
        <v>2.5</v>
      </c>
      <c r="T34" s="7" t="s">
        <v>42</v>
      </c>
      <c r="U34" s="7" t="s">
        <v>43</v>
      </c>
      <c r="V34" s="7" t="s">
        <v>46</v>
      </c>
      <c r="W34" s="52">
        <v>3</v>
      </c>
      <c r="X34" s="3">
        <v>46</v>
      </c>
      <c r="Z34" s="53"/>
      <c r="AA34" s="7"/>
      <c r="AB34" s="7"/>
      <c r="AC34" s="7"/>
      <c r="AD34" s="52"/>
      <c r="AE34" s="3">
        <v>48</v>
      </c>
      <c r="AG34" s="53"/>
      <c r="AH34" s="7"/>
      <c r="AI34" s="7"/>
      <c r="AJ34" s="7"/>
      <c r="AK34" s="52"/>
      <c r="AL34" s="3">
        <v>59</v>
      </c>
      <c r="AN34" s="53"/>
      <c r="AO34" s="7"/>
      <c r="AP34" s="7"/>
      <c r="AQ34" s="7"/>
      <c r="AR34" s="52"/>
      <c r="AS34" s="62">
        <v>58</v>
      </c>
      <c r="AU34" s="53"/>
      <c r="AV34" s="7"/>
      <c r="AW34" s="7"/>
      <c r="AX34" s="7"/>
      <c r="AY34" s="52"/>
      <c r="AZ34" s="62">
        <v>0</v>
      </c>
    </row>
    <row r="35" spans="1:52" x14ac:dyDescent="0.4">
      <c r="A35" s="12">
        <f t="shared" si="8"/>
        <v>21</v>
      </c>
      <c r="B35" s="167">
        <f t="shared" si="0"/>
        <v>0</v>
      </c>
      <c r="C35" s="1">
        <f t="shared" si="10"/>
        <v>0</v>
      </c>
      <c r="D35" s="41">
        <f>D33</f>
        <v>0</v>
      </c>
      <c r="E35" s="41">
        <f t="shared" si="7"/>
        <v>0</v>
      </c>
      <c r="F35" s="157">
        <f t="shared" si="1"/>
        <v>0</v>
      </c>
      <c r="G35" s="158">
        <f t="shared" si="2"/>
        <v>0</v>
      </c>
      <c r="H35" s="158">
        <f t="shared" si="3"/>
        <v>0</v>
      </c>
      <c r="I35" s="158">
        <f t="shared" si="4"/>
        <v>0</v>
      </c>
      <c r="J35" s="159">
        <f t="shared" si="5"/>
        <v>0</v>
      </c>
      <c r="N35" s="456"/>
      <c r="O35" s="457"/>
      <c r="P35" s="457"/>
      <c r="Q35" s="457"/>
      <c r="R35" s="462"/>
      <c r="S35" s="53">
        <v>3</v>
      </c>
      <c r="T35" s="7" t="s">
        <v>42</v>
      </c>
      <c r="U35" s="7" t="s">
        <v>43</v>
      </c>
      <c r="V35" s="7" t="s">
        <v>46</v>
      </c>
      <c r="W35" s="52">
        <v>3.5</v>
      </c>
      <c r="X35" s="3">
        <v>44</v>
      </c>
      <c r="Z35" s="53"/>
      <c r="AA35" s="7"/>
      <c r="AB35" s="7"/>
      <c r="AC35" s="7"/>
      <c r="AD35" s="52"/>
      <c r="AE35" s="3">
        <v>46</v>
      </c>
      <c r="AG35" s="53"/>
      <c r="AH35" s="7"/>
      <c r="AI35" s="7"/>
      <c r="AJ35" s="7"/>
      <c r="AK35" s="52"/>
      <c r="AL35" s="3">
        <v>56</v>
      </c>
      <c r="AN35" s="53"/>
      <c r="AO35" s="7"/>
      <c r="AP35" s="7"/>
      <c r="AQ35" s="7"/>
      <c r="AR35" s="52"/>
      <c r="AS35" s="62">
        <v>55</v>
      </c>
      <c r="AU35" s="53"/>
      <c r="AV35" s="7"/>
      <c r="AW35" s="7"/>
      <c r="AX35" s="7"/>
      <c r="AY35" s="52"/>
      <c r="AZ35" s="62">
        <v>0</v>
      </c>
    </row>
    <row r="36" spans="1:52" x14ac:dyDescent="0.4">
      <c r="A36" s="12">
        <f t="shared" si="8"/>
        <v>22</v>
      </c>
      <c r="B36" s="167">
        <f t="shared" si="0"/>
        <v>0</v>
      </c>
      <c r="C36" s="1">
        <f t="shared" si="10"/>
        <v>0</v>
      </c>
      <c r="D36" s="41">
        <f>D33</f>
        <v>0</v>
      </c>
      <c r="E36" s="41">
        <f t="shared" si="7"/>
        <v>0</v>
      </c>
      <c r="F36" s="157">
        <f t="shared" si="1"/>
        <v>0</v>
      </c>
      <c r="G36" s="158">
        <f t="shared" si="2"/>
        <v>0</v>
      </c>
      <c r="H36" s="158">
        <f t="shared" si="3"/>
        <v>0</v>
      </c>
      <c r="I36" s="158">
        <f t="shared" si="4"/>
        <v>0</v>
      </c>
      <c r="J36" s="159">
        <f t="shared" si="5"/>
        <v>0</v>
      </c>
      <c r="N36" s="456"/>
      <c r="O36" s="457"/>
      <c r="P36" s="457"/>
      <c r="Q36" s="457"/>
      <c r="R36" s="462"/>
      <c r="S36" s="53">
        <v>3.5</v>
      </c>
      <c r="T36" s="7" t="s">
        <v>42</v>
      </c>
      <c r="U36" s="7" t="s">
        <v>43</v>
      </c>
      <c r="V36" s="7" t="s">
        <v>46</v>
      </c>
      <c r="W36" s="52">
        <v>4</v>
      </c>
      <c r="X36" s="3">
        <v>42</v>
      </c>
      <c r="Z36" s="53"/>
      <c r="AA36" s="7"/>
      <c r="AB36" s="7"/>
      <c r="AC36" s="7"/>
      <c r="AD36" s="52"/>
      <c r="AE36" s="3">
        <v>44</v>
      </c>
      <c r="AG36" s="53"/>
      <c r="AH36" s="7"/>
      <c r="AI36" s="7"/>
      <c r="AJ36" s="7"/>
      <c r="AK36" s="52"/>
      <c r="AL36" s="3">
        <v>53</v>
      </c>
      <c r="AN36" s="53"/>
      <c r="AO36" s="7"/>
      <c r="AP36" s="7"/>
      <c r="AQ36" s="7"/>
      <c r="AR36" s="52"/>
      <c r="AS36" s="62">
        <v>52</v>
      </c>
      <c r="AU36" s="53"/>
      <c r="AV36" s="7"/>
      <c r="AW36" s="7"/>
      <c r="AX36" s="7"/>
      <c r="AY36" s="52"/>
      <c r="AZ36" s="62">
        <v>0</v>
      </c>
    </row>
    <row r="37" spans="1:52" x14ac:dyDescent="0.4">
      <c r="A37" s="12">
        <f t="shared" si="8"/>
        <v>23</v>
      </c>
      <c r="B37" s="167">
        <f t="shared" si="0"/>
        <v>0</v>
      </c>
      <c r="C37" s="1">
        <f t="shared" si="10"/>
        <v>0</v>
      </c>
      <c r="D37" s="41">
        <f>D33</f>
        <v>0</v>
      </c>
      <c r="E37" s="41">
        <f t="shared" si="7"/>
        <v>0</v>
      </c>
      <c r="F37" s="157">
        <f t="shared" si="1"/>
        <v>0</v>
      </c>
      <c r="G37" s="158">
        <f t="shared" si="2"/>
        <v>0</v>
      </c>
      <c r="H37" s="158">
        <f t="shared" si="3"/>
        <v>0</v>
      </c>
      <c r="I37" s="158">
        <f t="shared" si="4"/>
        <v>0</v>
      </c>
      <c r="J37" s="159">
        <f t="shared" si="5"/>
        <v>0</v>
      </c>
      <c r="N37" s="456"/>
      <c r="O37" s="457"/>
      <c r="P37" s="457"/>
      <c r="Q37" s="457"/>
      <c r="R37" s="462"/>
      <c r="S37" s="53">
        <v>4</v>
      </c>
      <c r="T37" s="7" t="s">
        <v>42</v>
      </c>
      <c r="U37" s="7" t="s">
        <v>43</v>
      </c>
      <c r="V37" s="7" t="s">
        <v>46</v>
      </c>
      <c r="W37" s="52">
        <v>4.5</v>
      </c>
      <c r="X37" s="3">
        <v>40</v>
      </c>
      <c r="Z37" s="53"/>
      <c r="AA37" s="7"/>
      <c r="AB37" s="7"/>
      <c r="AC37" s="7"/>
      <c r="AD37" s="52"/>
      <c r="AE37" s="3">
        <v>42</v>
      </c>
      <c r="AG37" s="53"/>
      <c r="AH37" s="7"/>
      <c r="AI37" s="7"/>
      <c r="AJ37" s="7"/>
      <c r="AK37" s="52"/>
      <c r="AL37" s="3">
        <v>50</v>
      </c>
      <c r="AN37" s="53"/>
      <c r="AO37" s="7"/>
      <c r="AP37" s="7"/>
      <c r="AQ37" s="7"/>
      <c r="AR37" s="52"/>
      <c r="AS37" s="62">
        <v>49</v>
      </c>
      <c r="AU37" s="53"/>
      <c r="AV37" s="7"/>
      <c r="AW37" s="7"/>
      <c r="AX37" s="7"/>
      <c r="AY37" s="52"/>
      <c r="AZ37" s="62">
        <v>0</v>
      </c>
    </row>
    <row r="38" spans="1:52" ht="19.5" thickBot="1" x14ac:dyDescent="0.45">
      <c r="A38" s="12">
        <f t="shared" si="8"/>
        <v>24</v>
      </c>
      <c r="B38" s="167">
        <f t="shared" si="0"/>
        <v>0</v>
      </c>
      <c r="C38" s="1">
        <f t="shared" si="10"/>
        <v>0</v>
      </c>
      <c r="D38" s="41">
        <f>D33</f>
        <v>0</v>
      </c>
      <c r="E38" s="41">
        <f>IF(S38&lt;=ηAH,1,0)</f>
        <v>0</v>
      </c>
      <c r="F38" s="157">
        <f t="shared" si="1"/>
        <v>0</v>
      </c>
      <c r="G38" s="158">
        <f t="shared" si="2"/>
        <v>0</v>
      </c>
      <c r="H38" s="158">
        <f t="shared" si="3"/>
        <v>0</v>
      </c>
      <c r="I38" s="158">
        <f t="shared" si="4"/>
        <v>0</v>
      </c>
      <c r="J38" s="159">
        <f t="shared" si="5"/>
        <v>0</v>
      </c>
      <c r="N38" s="463"/>
      <c r="O38" s="464"/>
      <c r="P38" s="464"/>
      <c r="Q38" s="464"/>
      <c r="R38" s="466"/>
      <c r="S38" s="63">
        <v>4.5</v>
      </c>
      <c r="T38" s="48" t="s">
        <v>42</v>
      </c>
      <c r="U38" s="48" t="s">
        <v>43</v>
      </c>
      <c r="V38" s="48"/>
      <c r="W38" s="67"/>
      <c r="X38" s="65">
        <v>39</v>
      </c>
      <c r="Y38" s="46"/>
      <c r="Z38" s="63"/>
      <c r="AA38" s="48"/>
      <c r="AB38" s="48"/>
      <c r="AC38" s="48"/>
      <c r="AD38" s="67"/>
      <c r="AE38" s="65">
        <v>40</v>
      </c>
      <c r="AF38" s="46"/>
      <c r="AG38" s="63"/>
      <c r="AH38" s="48"/>
      <c r="AI38" s="48"/>
      <c r="AJ38" s="48"/>
      <c r="AK38" s="67"/>
      <c r="AL38" s="65">
        <v>48</v>
      </c>
      <c r="AM38" s="46"/>
      <c r="AN38" s="63"/>
      <c r="AO38" s="48"/>
      <c r="AP38" s="48"/>
      <c r="AQ38" s="48"/>
      <c r="AR38" s="67"/>
      <c r="AS38" s="66">
        <v>47</v>
      </c>
      <c r="AU38" s="63"/>
      <c r="AV38" s="48"/>
      <c r="AW38" s="48"/>
      <c r="AX38" s="48"/>
      <c r="AY38" s="67"/>
      <c r="AZ38" s="66">
        <v>0</v>
      </c>
    </row>
    <row r="39" spans="1:52" x14ac:dyDescent="0.4">
      <c r="A39" s="12">
        <f t="shared" si="8"/>
        <v>25</v>
      </c>
      <c r="B39" s="167">
        <f t="shared" si="0"/>
        <v>0</v>
      </c>
      <c r="C39" s="37">
        <f>IF(AND(D39=1,E39=1),1,0)</f>
        <v>0</v>
      </c>
      <c r="D39" s="40">
        <f>IF(AND(N39&lt;UA値z,UA値z&lt;=R39),1,0)</f>
        <v>0</v>
      </c>
      <c r="E39" s="40">
        <f t="shared" si="7"/>
        <v>1</v>
      </c>
      <c r="F39" s="154">
        <f t="shared" si="1"/>
        <v>57</v>
      </c>
      <c r="G39" s="155">
        <f t="shared" si="2"/>
        <v>59</v>
      </c>
      <c r="H39" s="155">
        <f t="shared" si="3"/>
        <v>70</v>
      </c>
      <c r="I39" s="155">
        <f t="shared" si="4"/>
        <v>69</v>
      </c>
      <c r="J39" s="156">
        <f t="shared" si="5"/>
        <v>0</v>
      </c>
      <c r="N39" s="458">
        <v>1.1000000000000001</v>
      </c>
      <c r="O39" s="459" t="s">
        <v>46</v>
      </c>
      <c r="P39" s="459" t="s">
        <v>45</v>
      </c>
      <c r="Q39" s="459" t="s">
        <v>42</v>
      </c>
      <c r="R39" s="465">
        <v>1.32</v>
      </c>
      <c r="S39" s="57">
        <v>2</v>
      </c>
      <c r="T39" s="47" t="s">
        <v>42</v>
      </c>
      <c r="U39" s="47" t="s">
        <v>43</v>
      </c>
      <c r="V39" s="47" t="s">
        <v>46</v>
      </c>
      <c r="W39" s="58">
        <v>2.5</v>
      </c>
      <c r="X39" s="59">
        <v>57</v>
      </c>
      <c r="Y39" s="60"/>
      <c r="Z39" s="57"/>
      <c r="AA39" s="47"/>
      <c r="AB39" s="47"/>
      <c r="AC39" s="47"/>
      <c r="AD39" s="58"/>
      <c r="AE39" s="59">
        <v>59</v>
      </c>
      <c r="AF39" s="60"/>
      <c r="AG39" s="57"/>
      <c r="AH39" s="47"/>
      <c r="AI39" s="47"/>
      <c r="AJ39" s="47"/>
      <c r="AK39" s="58"/>
      <c r="AL39" s="59">
        <v>70</v>
      </c>
      <c r="AM39" s="60"/>
      <c r="AN39" s="57"/>
      <c r="AO39" s="47"/>
      <c r="AP39" s="47"/>
      <c r="AQ39" s="47"/>
      <c r="AR39" s="58"/>
      <c r="AS39" s="61">
        <v>69</v>
      </c>
      <c r="AU39" s="57"/>
      <c r="AV39" s="47"/>
      <c r="AW39" s="47"/>
      <c r="AX39" s="47"/>
      <c r="AY39" s="58"/>
      <c r="AZ39" s="61">
        <v>0</v>
      </c>
    </row>
    <row r="40" spans="1:52" x14ac:dyDescent="0.4">
      <c r="A40" s="12">
        <f t="shared" si="8"/>
        <v>26</v>
      </c>
      <c r="B40" s="167">
        <f t="shared" si="0"/>
        <v>0</v>
      </c>
      <c r="C40" s="1">
        <f t="shared" ref="C40:C44" si="11">IF(AND(D40=1,E40=1),1,0)</f>
        <v>0</v>
      </c>
      <c r="D40" s="41">
        <f>D39</f>
        <v>0</v>
      </c>
      <c r="E40" s="41">
        <f t="shared" si="7"/>
        <v>0</v>
      </c>
      <c r="F40" s="157">
        <f t="shared" si="1"/>
        <v>0</v>
      </c>
      <c r="G40" s="158">
        <f t="shared" si="2"/>
        <v>0</v>
      </c>
      <c r="H40" s="158">
        <f t="shared" si="3"/>
        <v>0</v>
      </c>
      <c r="I40" s="158">
        <f t="shared" si="4"/>
        <v>0</v>
      </c>
      <c r="J40" s="159">
        <f t="shared" si="5"/>
        <v>0</v>
      </c>
      <c r="N40" s="456"/>
      <c r="O40" s="457"/>
      <c r="P40" s="457"/>
      <c r="Q40" s="457"/>
      <c r="R40" s="462"/>
      <c r="S40" s="53">
        <v>2.5</v>
      </c>
      <c r="T40" s="7" t="s">
        <v>42</v>
      </c>
      <c r="U40" s="7" t="s">
        <v>43</v>
      </c>
      <c r="V40" s="7" t="s">
        <v>46</v>
      </c>
      <c r="W40" s="52">
        <v>3</v>
      </c>
      <c r="X40" s="3">
        <v>54</v>
      </c>
      <c r="Z40" s="53"/>
      <c r="AA40" s="7"/>
      <c r="AB40" s="7"/>
      <c r="AC40" s="7"/>
      <c r="AD40" s="52"/>
      <c r="AE40" s="3">
        <v>57</v>
      </c>
      <c r="AG40" s="53"/>
      <c r="AH40" s="7"/>
      <c r="AI40" s="7"/>
      <c r="AJ40" s="7"/>
      <c r="AK40" s="52"/>
      <c r="AL40" s="3">
        <v>67</v>
      </c>
      <c r="AN40" s="53"/>
      <c r="AO40" s="7"/>
      <c r="AP40" s="7"/>
      <c r="AQ40" s="7"/>
      <c r="AR40" s="52"/>
      <c r="AS40" s="62">
        <v>66</v>
      </c>
      <c r="AU40" s="53"/>
      <c r="AV40" s="7"/>
      <c r="AW40" s="7"/>
      <c r="AX40" s="7"/>
      <c r="AY40" s="52"/>
      <c r="AZ40" s="62">
        <v>0</v>
      </c>
    </row>
    <row r="41" spans="1:52" x14ac:dyDescent="0.4">
      <c r="A41" s="12">
        <f t="shared" si="8"/>
        <v>27</v>
      </c>
      <c r="B41" s="167">
        <f t="shared" si="0"/>
        <v>0</v>
      </c>
      <c r="C41" s="1">
        <f t="shared" si="11"/>
        <v>0</v>
      </c>
      <c r="D41" s="41">
        <f>D39</f>
        <v>0</v>
      </c>
      <c r="E41" s="41">
        <f t="shared" si="7"/>
        <v>0</v>
      </c>
      <c r="F41" s="157">
        <f t="shared" si="1"/>
        <v>0</v>
      </c>
      <c r="G41" s="158">
        <f t="shared" si="2"/>
        <v>0</v>
      </c>
      <c r="H41" s="158">
        <f t="shared" si="3"/>
        <v>0</v>
      </c>
      <c r="I41" s="158">
        <f t="shared" si="4"/>
        <v>0</v>
      </c>
      <c r="J41" s="159">
        <f t="shared" si="5"/>
        <v>0</v>
      </c>
      <c r="N41" s="456"/>
      <c r="O41" s="457"/>
      <c r="P41" s="457"/>
      <c r="Q41" s="457"/>
      <c r="R41" s="462"/>
      <c r="S41" s="53">
        <v>3</v>
      </c>
      <c r="T41" s="7" t="s">
        <v>42</v>
      </c>
      <c r="U41" s="7" t="s">
        <v>43</v>
      </c>
      <c r="V41" s="7" t="s">
        <v>46</v>
      </c>
      <c r="W41" s="52">
        <v>3.5</v>
      </c>
      <c r="X41" s="3">
        <v>52</v>
      </c>
      <c r="Z41" s="53"/>
      <c r="AA41" s="7"/>
      <c r="AB41" s="7"/>
      <c r="AC41" s="7"/>
      <c r="AD41" s="52"/>
      <c r="AE41" s="3">
        <v>54</v>
      </c>
      <c r="AG41" s="53"/>
      <c r="AH41" s="7"/>
      <c r="AI41" s="7"/>
      <c r="AJ41" s="7"/>
      <c r="AK41" s="52"/>
      <c r="AL41" s="3">
        <v>64</v>
      </c>
      <c r="AN41" s="53"/>
      <c r="AO41" s="7"/>
      <c r="AP41" s="7"/>
      <c r="AQ41" s="7"/>
      <c r="AR41" s="52"/>
      <c r="AS41" s="62">
        <v>64</v>
      </c>
      <c r="AU41" s="53"/>
      <c r="AV41" s="7"/>
      <c r="AW41" s="7"/>
      <c r="AX41" s="7"/>
      <c r="AY41" s="52"/>
      <c r="AZ41" s="62">
        <v>0</v>
      </c>
    </row>
    <row r="42" spans="1:52" x14ac:dyDescent="0.4">
      <c r="A42" s="12">
        <f t="shared" si="8"/>
        <v>28</v>
      </c>
      <c r="B42" s="167">
        <f>IF(C42=1,INDEX(暖房設備配列5地域,A42,暖房方式番号Z),0)</f>
        <v>0</v>
      </c>
      <c r="C42" s="1">
        <f t="shared" si="11"/>
        <v>0</v>
      </c>
      <c r="D42" s="41">
        <f>D39</f>
        <v>0</v>
      </c>
      <c r="E42" s="41">
        <f t="shared" si="7"/>
        <v>0</v>
      </c>
      <c r="F42" s="157">
        <f t="shared" si="1"/>
        <v>0</v>
      </c>
      <c r="G42" s="158">
        <f t="shared" si="2"/>
        <v>0</v>
      </c>
      <c r="H42" s="158">
        <f t="shared" si="3"/>
        <v>0</v>
      </c>
      <c r="I42" s="158">
        <f t="shared" si="4"/>
        <v>0</v>
      </c>
      <c r="J42" s="159">
        <f t="shared" si="5"/>
        <v>0</v>
      </c>
      <c r="N42" s="456"/>
      <c r="O42" s="457"/>
      <c r="P42" s="457"/>
      <c r="Q42" s="457"/>
      <c r="R42" s="462"/>
      <c r="S42" s="53">
        <v>3.5</v>
      </c>
      <c r="T42" s="7" t="s">
        <v>42</v>
      </c>
      <c r="U42" s="7" t="s">
        <v>43</v>
      </c>
      <c r="V42" s="7" t="s">
        <v>46</v>
      </c>
      <c r="W42" s="52">
        <v>4</v>
      </c>
      <c r="X42" s="3">
        <v>50</v>
      </c>
      <c r="Z42" s="53"/>
      <c r="AA42" s="7"/>
      <c r="AB42" s="7"/>
      <c r="AC42" s="7"/>
      <c r="AD42" s="52"/>
      <c r="AE42" s="3">
        <v>52</v>
      </c>
      <c r="AG42" s="53"/>
      <c r="AH42" s="7"/>
      <c r="AI42" s="7"/>
      <c r="AJ42" s="7"/>
      <c r="AK42" s="52"/>
      <c r="AL42" s="3">
        <v>61</v>
      </c>
      <c r="AN42" s="53"/>
      <c r="AO42" s="7"/>
      <c r="AP42" s="7"/>
      <c r="AQ42" s="7"/>
      <c r="AR42" s="52"/>
      <c r="AS42" s="62">
        <v>61</v>
      </c>
      <c r="AU42" s="53"/>
      <c r="AV42" s="7"/>
      <c r="AW42" s="7"/>
      <c r="AX42" s="7"/>
      <c r="AY42" s="52"/>
      <c r="AZ42" s="62">
        <v>0</v>
      </c>
    </row>
    <row r="43" spans="1:52" x14ac:dyDescent="0.4">
      <c r="A43" s="12">
        <f t="shared" si="8"/>
        <v>29</v>
      </c>
      <c r="B43" s="167">
        <f t="shared" si="0"/>
        <v>0</v>
      </c>
      <c r="C43" s="1">
        <f t="shared" si="11"/>
        <v>0</v>
      </c>
      <c r="D43" s="41">
        <f>D39</f>
        <v>0</v>
      </c>
      <c r="E43" s="41">
        <f t="shared" si="7"/>
        <v>0</v>
      </c>
      <c r="F43" s="157">
        <f t="shared" si="1"/>
        <v>0</v>
      </c>
      <c r="G43" s="158">
        <f t="shared" si="2"/>
        <v>0</v>
      </c>
      <c r="H43" s="158">
        <f t="shared" si="3"/>
        <v>0</v>
      </c>
      <c r="I43" s="158">
        <f t="shared" si="4"/>
        <v>0</v>
      </c>
      <c r="J43" s="159">
        <f t="shared" si="5"/>
        <v>0</v>
      </c>
      <c r="N43" s="456"/>
      <c r="O43" s="457"/>
      <c r="P43" s="457"/>
      <c r="Q43" s="457"/>
      <c r="R43" s="462"/>
      <c r="S43" s="53">
        <v>4</v>
      </c>
      <c r="T43" s="7" t="s">
        <v>42</v>
      </c>
      <c r="U43" s="7" t="s">
        <v>43</v>
      </c>
      <c r="V43" s="7" t="s">
        <v>46</v>
      </c>
      <c r="W43" s="52">
        <v>4.5</v>
      </c>
      <c r="X43" s="3">
        <v>48</v>
      </c>
      <c r="Z43" s="53"/>
      <c r="AA43" s="7"/>
      <c r="AB43" s="7"/>
      <c r="AC43" s="7"/>
      <c r="AD43" s="52"/>
      <c r="AE43" s="3">
        <v>50</v>
      </c>
      <c r="AG43" s="53"/>
      <c r="AH43" s="7"/>
      <c r="AI43" s="7"/>
      <c r="AJ43" s="7"/>
      <c r="AK43" s="52"/>
      <c r="AL43" s="3">
        <v>58</v>
      </c>
      <c r="AN43" s="53"/>
      <c r="AO43" s="7"/>
      <c r="AP43" s="7"/>
      <c r="AQ43" s="7"/>
      <c r="AR43" s="52"/>
      <c r="AS43" s="62">
        <v>58</v>
      </c>
      <c r="AU43" s="53"/>
      <c r="AV43" s="7"/>
      <c r="AW43" s="7"/>
      <c r="AX43" s="7"/>
      <c r="AY43" s="52"/>
      <c r="AZ43" s="62">
        <v>0</v>
      </c>
    </row>
    <row r="44" spans="1:52" ht="19.5" thickBot="1" x14ac:dyDescent="0.45">
      <c r="A44" s="12">
        <f t="shared" si="8"/>
        <v>30</v>
      </c>
      <c r="B44" s="167">
        <f t="shared" si="0"/>
        <v>0</v>
      </c>
      <c r="C44" s="43">
        <f t="shared" si="11"/>
        <v>0</v>
      </c>
      <c r="D44" s="42">
        <f>D39</f>
        <v>0</v>
      </c>
      <c r="E44" s="42">
        <f>IF(S44&lt;=ηAH,1,0)</f>
        <v>0</v>
      </c>
      <c r="F44" s="160">
        <f t="shared" si="1"/>
        <v>0</v>
      </c>
      <c r="G44" s="161">
        <f t="shared" si="2"/>
        <v>0</v>
      </c>
      <c r="H44" s="161">
        <f t="shared" si="3"/>
        <v>0</v>
      </c>
      <c r="I44" s="161">
        <f t="shared" si="4"/>
        <v>0</v>
      </c>
      <c r="J44" s="162">
        <f t="shared" si="5"/>
        <v>0</v>
      </c>
      <c r="N44" s="463"/>
      <c r="O44" s="464"/>
      <c r="P44" s="464"/>
      <c r="Q44" s="464"/>
      <c r="R44" s="466"/>
      <c r="S44" s="63">
        <v>4.5</v>
      </c>
      <c r="T44" s="48" t="s">
        <v>42</v>
      </c>
      <c r="U44" s="48" t="s">
        <v>43</v>
      </c>
      <c r="V44" s="48"/>
      <c r="W44" s="67"/>
      <c r="X44" s="65">
        <v>46</v>
      </c>
      <c r="Y44" s="46"/>
      <c r="Z44" s="63"/>
      <c r="AA44" s="48"/>
      <c r="AB44" s="48"/>
      <c r="AC44" s="48"/>
      <c r="AD44" s="67"/>
      <c r="AE44" s="65">
        <v>48</v>
      </c>
      <c r="AF44" s="46"/>
      <c r="AG44" s="63"/>
      <c r="AH44" s="48"/>
      <c r="AI44" s="48"/>
      <c r="AJ44" s="48"/>
      <c r="AK44" s="67"/>
      <c r="AL44" s="65">
        <v>56</v>
      </c>
      <c r="AM44" s="46"/>
      <c r="AN44" s="63"/>
      <c r="AO44" s="48"/>
      <c r="AP44" s="48"/>
      <c r="AQ44" s="48"/>
      <c r="AR44" s="67"/>
      <c r="AS44" s="66">
        <v>55</v>
      </c>
      <c r="AU44" s="63"/>
      <c r="AV44" s="48"/>
      <c r="AW44" s="48"/>
      <c r="AX44" s="48"/>
      <c r="AY44" s="67"/>
      <c r="AZ44" s="66">
        <v>0</v>
      </c>
    </row>
    <row r="45" spans="1:52" x14ac:dyDescent="0.4">
      <c r="A45" s="12">
        <f t="shared" si="8"/>
        <v>31</v>
      </c>
      <c r="B45" s="167">
        <f t="shared" si="0"/>
        <v>0</v>
      </c>
      <c r="C45" s="37">
        <f>IF(AND(D45=1,E45=1),1,0)</f>
        <v>0</v>
      </c>
      <c r="D45" s="41">
        <f>IF(AND(N45&lt;UA値z,UA値z&lt;=R45),1,0)</f>
        <v>0</v>
      </c>
      <c r="E45" s="41">
        <f t="shared" si="7"/>
        <v>1</v>
      </c>
      <c r="F45" s="157">
        <f t="shared" si="1"/>
        <v>68</v>
      </c>
      <c r="G45" s="158">
        <f t="shared" si="2"/>
        <v>71</v>
      </c>
      <c r="H45" s="158">
        <f t="shared" si="3"/>
        <v>78</v>
      </c>
      <c r="I45" s="158">
        <f t="shared" si="4"/>
        <v>78</v>
      </c>
      <c r="J45" s="159">
        <f t="shared" si="5"/>
        <v>0</v>
      </c>
      <c r="N45" s="458">
        <v>1.32</v>
      </c>
      <c r="O45" s="459" t="s">
        <v>46</v>
      </c>
      <c r="P45" s="459" t="s">
        <v>45</v>
      </c>
      <c r="Q45" s="459" t="s">
        <v>42</v>
      </c>
      <c r="R45" s="465">
        <v>1.54</v>
      </c>
      <c r="S45" s="57">
        <v>2</v>
      </c>
      <c r="T45" s="47" t="s">
        <v>42</v>
      </c>
      <c r="U45" s="47" t="s">
        <v>43</v>
      </c>
      <c r="V45" s="47" t="s">
        <v>46</v>
      </c>
      <c r="W45" s="58">
        <v>2.5</v>
      </c>
      <c r="X45" s="59">
        <v>68</v>
      </c>
      <c r="Y45" s="60"/>
      <c r="Z45" s="57"/>
      <c r="AA45" s="47"/>
      <c r="AB45" s="47"/>
      <c r="AC45" s="47"/>
      <c r="AD45" s="58"/>
      <c r="AE45" s="59">
        <v>71</v>
      </c>
      <c r="AF45" s="60"/>
      <c r="AG45" s="57"/>
      <c r="AH45" s="47"/>
      <c r="AI45" s="47"/>
      <c r="AJ45" s="47"/>
      <c r="AK45" s="58"/>
      <c r="AL45" s="59">
        <v>78</v>
      </c>
      <c r="AM45" s="60"/>
      <c r="AN45" s="57"/>
      <c r="AO45" s="47"/>
      <c r="AP45" s="47"/>
      <c r="AQ45" s="47"/>
      <c r="AR45" s="58"/>
      <c r="AS45" s="61">
        <v>78</v>
      </c>
      <c r="AU45" s="57"/>
      <c r="AV45" s="47"/>
      <c r="AW45" s="47"/>
      <c r="AX45" s="47"/>
      <c r="AY45" s="58"/>
      <c r="AZ45" s="61">
        <v>0</v>
      </c>
    </row>
    <row r="46" spans="1:52" x14ac:dyDescent="0.4">
      <c r="A46" s="12">
        <f t="shared" si="8"/>
        <v>32</v>
      </c>
      <c r="B46" s="167">
        <f t="shared" si="0"/>
        <v>0</v>
      </c>
      <c r="C46" s="1">
        <f t="shared" ref="C46:C50" si="12">IF(AND(D46=1,E46=1),1,0)</f>
        <v>0</v>
      </c>
      <c r="D46" s="41">
        <f>D45</f>
        <v>0</v>
      </c>
      <c r="E46" s="41">
        <f t="shared" si="7"/>
        <v>0</v>
      </c>
      <c r="F46" s="157">
        <f t="shared" si="1"/>
        <v>0</v>
      </c>
      <c r="G46" s="158">
        <f t="shared" si="2"/>
        <v>0</v>
      </c>
      <c r="H46" s="158">
        <f t="shared" si="3"/>
        <v>0</v>
      </c>
      <c r="I46" s="158">
        <f t="shared" si="4"/>
        <v>0</v>
      </c>
      <c r="J46" s="159">
        <f t="shared" si="5"/>
        <v>0</v>
      </c>
      <c r="N46" s="456"/>
      <c r="O46" s="457"/>
      <c r="P46" s="457"/>
      <c r="Q46" s="457"/>
      <c r="R46" s="462"/>
      <c r="S46" s="53">
        <v>2.5</v>
      </c>
      <c r="T46" s="7" t="s">
        <v>42</v>
      </c>
      <c r="U46" s="7" t="s">
        <v>43</v>
      </c>
      <c r="V46" s="7" t="s">
        <v>46</v>
      </c>
      <c r="W46" s="52">
        <v>3</v>
      </c>
      <c r="X46" s="3">
        <v>65</v>
      </c>
      <c r="Z46" s="53"/>
      <c r="AA46" s="7"/>
      <c r="AB46" s="7"/>
      <c r="AC46" s="7"/>
      <c r="AD46" s="52"/>
      <c r="AE46" s="3">
        <v>68</v>
      </c>
      <c r="AG46" s="53"/>
      <c r="AH46" s="7"/>
      <c r="AI46" s="7"/>
      <c r="AJ46" s="7"/>
      <c r="AK46" s="52"/>
      <c r="AL46" s="3">
        <v>76</v>
      </c>
      <c r="AN46" s="53"/>
      <c r="AO46" s="7"/>
      <c r="AP46" s="7"/>
      <c r="AQ46" s="7"/>
      <c r="AR46" s="52"/>
      <c r="AS46" s="62">
        <v>75</v>
      </c>
      <c r="AU46" s="53"/>
      <c r="AV46" s="7"/>
      <c r="AW46" s="7"/>
      <c r="AX46" s="7"/>
      <c r="AY46" s="52"/>
      <c r="AZ46" s="62">
        <v>0</v>
      </c>
    </row>
    <row r="47" spans="1:52" x14ac:dyDescent="0.4">
      <c r="A47" s="12">
        <f t="shared" si="8"/>
        <v>33</v>
      </c>
      <c r="B47" s="167">
        <f t="shared" si="0"/>
        <v>0</v>
      </c>
      <c r="C47" s="1">
        <f t="shared" si="12"/>
        <v>0</v>
      </c>
      <c r="D47" s="41">
        <f>D45</f>
        <v>0</v>
      </c>
      <c r="E47" s="41">
        <f t="shared" si="7"/>
        <v>0</v>
      </c>
      <c r="F47" s="157">
        <f t="shared" si="1"/>
        <v>0</v>
      </c>
      <c r="G47" s="158">
        <f t="shared" si="2"/>
        <v>0</v>
      </c>
      <c r="H47" s="158">
        <f t="shared" si="3"/>
        <v>0</v>
      </c>
      <c r="I47" s="158">
        <f t="shared" si="4"/>
        <v>0</v>
      </c>
      <c r="J47" s="159">
        <f t="shared" si="5"/>
        <v>0</v>
      </c>
      <c r="N47" s="456"/>
      <c r="O47" s="457"/>
      <c r="P47" s="457"/>
      <c r="Q47" s="457"/>
      <c r="R47" s="462"/>
      <c r="S47" s="53">
        <v>3</v>
      </c>
      <c r="T47" s="7" t="s">
        <v>42</v>
      </c>
      <c r="U47" s="7" t="s">
        <v>43</v>
      </c>
      <c r="V47" s="7" t="s">
        <v>46</v>
      </c>
      <c r="W47" s="52">
        <v>3.5</v>
      </c>
      <c r="X47" s="3">
        <v>63</v>
      </c>
      <c r="Z47" s="53"/>
      <c r="AA47" s="7"/>
      <c r="AB47" s="7"/>
      <c r="AC47" s="7"/>
      <c r="AD47" s="52"/>
      <c r="AE47" s="3">
        <v>65</v>
      </c>
      <c r="AG47" s="53"/>
      <c r="AH47" s="7"/>
      <c r="AI47" s="7"/>
      <c r="AJ47" s="7"/>
      <c r="AK47" s="52"/>
      <c r="AL47" s="3">
        <v>73</v>
      </c>
      <c r="AN47" s="53"/>
      <c r="AO47" s="7"/>
      <c r="AP47" s="7"/>
      <c r="AQ47" s="7"/>
      <c r="AR47" s="52"/>
      <c r="AS47" s="62">
        <v>73</v>
      </c>
      <c r="AU47" s="53"/>
      <c r="AV47" s="7"/>
      <c r="AW47" s="7"/>
      <c r="AX47" s="7"/>
      <c r="AY47" s="52"/>
      <c r="AZ47" s="62">
        <v>0</v>
      </c>
    </row>
    <row r="48" spans="1:52" x14ac:dyDescent="0.4">
      <c r="A48" s="12">
        <f t="shared" si="8"/>
        <v>34</v>
      </c>
      <c r="B48" s="167">
        <f t="shared" si="0"/>
        <v>0</v>
      </c>
      <c r="C48" s="1">
        <f t="shared" si="12"/>
        <v>0</v>
      </c>
      <c r="D48" s="41">
        <f>D45</f>
        <v>0</v>
      </c>
      <c r="E48" s="41">
        <f t="shared" si="7"/>
        <v>0</v>
      </c>
      <c r="F48" s="157">
        <f t="shared" si="1"/>
        <v>0</v>
      </c>
      <c r="G48" s="158">
        <f t="shared" si="2"/>
        <v>0</v>
      </c>
      <c r="H48" s="158">
        <f t="shared" si="3"/>
        <v>0</v>
      </c>
      <c r="I48" s="158">
        <f t="shared" si="4"/>
        <v>0</v>
      </c>
      <c r="J48" s="159">
        <f t="shared" si="5"/>
        <v>0</v>
      </c>
      <c r="N48" s="456"/>
      <c r="O48" s="457"/>
      <c r="P48" s="457"/>
      <c r="Q48" s="457"/>
      <c r="R48" s="462"/>
      <c r="S48" s="53">
        <v>3.5</v>
      </c>
      <c r="T48" s="7" t="s">
        <v>42</v>
      </c>
      <c r="U48" s="7" t="s">
        <v>43</v>
      </c>
      <c r="V48" s="7" t="s">
        <v>46</v>
      </c>
      <c r="W48" s="52">
        <v>4</v>
      </c>
      <c r="X48" s="3">
        <v>60</v>
      </c>
      <c r="Z48" s="53"/>
      <c r="AA48" s="7"/>
      <c r="AB48" s="7"/>
      <c r="AC48" s="7"/>
      <c r="AD48" s="52"/>
      <c r="AE48" s="3">
        <v>62</v>
      </c>
      <c r="AG48" s="53"/>
      <c r="AH48" s="7"/>
      <c r="AI48" s="7"/>
      <c r="AJ48" s="7"/>
      <c r="AK48" s="52"/>
      <c r="AL48" s="3">
        <v>70</v>
      </c>
      <c r="AN48" s="53"/>
      <c r="AO48" s="7"/>
      <c r="AP48" s="7"/>
      <c r="AQ48" s="7"/>
      <c r="AR48" s="52"/>
      <c r="AS48" s="62">
        <v>70</v>
      </c>
      <c r="AU48" s="53"/>
      <c r="AV48" s="7"/>
      <c r="AW48" s="7"/>
      <c r="AX48" s="7"/>
      <c r="AY48" s="52"/>
      <c r="AZ48" s="62">
        <v>0</v>
      </c>
    </row>
    <row r="49" spans="1:52" x14ac:dyDescent="0.4">
      <c r="A49" s="12">
        <f t="shared" si="8"/>
        <v>35</v>
      </c>
      <c r="B49" s="167">
        <f t="shared" si="0"/>
        <v>0</v>
      </c>
      <c r="C49" s="1">
        <f t="shared" si="12"/>
        <v>0</v>
      </c>
      <c r="D49" s="41">
        <f>D45</f>
        <v>0</v>
      </c>
      <c r="E49" s="41">
        <f t="shared" si="7"/>
        <v>0</v>
      </c>
      <c r="F49" s="157">
        <f t="shared" si="1"/>
        <v>0</v>
      </c>
      <c r="G49" s="158">
        <f t="shared" si="2"/>
        <v>0</v>
      </c>
      <c r="H49" s="158">
        <f t="shared" si="3"/>
        <v>0</v>
      </c>
      <c r="I49" s="158">
        <f t="shared" si="4"/>
        <v>0</v>
      </c>
      <c r="J49" s="159">
        <f t="shared" si="5"/>
        <v>0</v>
      </c>
      <c r="N49" s="456"/>
      <c r="O49" s="457"/>
      <c r="P49" s="457"/>
      <c r="Q49" s="457"/>
      <c r="R49" s="462"/>
      <c r="S49" s="53">
        <v>4</v>
      </c>
      <c r="T49" s="7" t="s">
        <v>42</v>
      </c>
      <c r="U49" s="7" t="s">
        <v>43</v>
      </c>
      <c r="V49" s="7" t="s">
        <v>46</v>
      </c>
      <c r="W49" s="52">
        <v>4.5</v>
      </c>
      <c r="X49" s="3">
        <v>58</v>
      </c>
      <c r="Z49" s="53"/>
      <c r="AA49" s="7"/>
      <c r="AB49" s="7"/>
      <c r="AC49" s="7"/>
      <c r="AD49" s="52"/>
      <c r="AE49" s="3">
        <v>60</v>
      </c>
      <c r="AG49" s="53"/>
      <c r="AH49" s="7"/>
      <c r="AI49" s="7"/>
      <c r="AJ49" s="7"/>
      <c r="AK49" s="52"/>
      <c r="AL49" s="3">
        <v>68</v>
      </c>
      <c r="AN49" s="53"/>
      <c r="AO49" s="7"/>
      <c r="AP49" s="7"/>
      <c r="AQ49" s="7"/>
      <c r="AR49" s="52"/>
      <c r="AS49" s="62">
        <v>67</v>
      </c>
      <c r="AU49" s="53"/>
      <c r="AV49" s="7"/>
      <c r="AW49" s="7"/>
      <c r="AX49" s="7"/>
      <c r="AY49" s="52"/>
      <c r="AZ49" s="62">
        <v>0</v>
      </c>
    </row>
    <row r="50" spans="1:52" ht="19.5" thickBot="1" x14ac:dyDescent="0.45">
      <c r="A50" s="12">
        <f t="shared" si="8"/>
        <v>36</v>
      </c>
      <c r="B50" s="167">
        <f t="shared" si="0"/>
        <v>0</v>
      </c>
      <c r="C50" s="43">
        <f t="shared" si="12"/>
        <v>0</v>
      </c>
      <c r="D50" s="41">
        <f>D45</f>
        <v>0</v>
      </c>
      <c r="E50" s="41">
        <f>IF(S50&lt;=ηAH,1,0)</f>
        <v>0</v>
      </c>
      <c r="F50" s="157">
        <f t="shared" si="1"/>
        <v>0</v>
      </c>
      <c r="G50" s="158">
        <f t="shared" si="2"/>
        <v>0</v>
      </c>
      <c r="H50" s="158">
        <f t="shared" si="3"/>
        <v>0</v>
      </c>
      <c r="I50" s="158">
        <f t="shared" si="4"/>
        <v>0</v>
      </c>
      <c r="J50" s="159">
        <f t="shared" si="5"/>
        <v>0</v>
      </c>
      <c r="N50" s="463"/>
      <c r="O50" s="464"/>
      <c r="P50" s="464"/>
      <c r="Q50" s="464"/>
      <c r="R50" s="466"/>
      <c r="S50" s="63">
        <v>4.5</v>
      </c>
      <c r="T50" s="48" t="s">
        <v>42</v>
      </c>
      <c r="U50" s="48" t="s">
        <v>43</v>
      </c>
      <c r="V50" s="48"/>
      <c r="W50" s="67"/>
      <c r="X50" s="65">
        <v>56</v>
      </c>
      <c r="Y50" s="46"/>
      <c r="Z50" s="63"/>
      <c r="AA50" s="48"/>
      <c r="AB50" s="48"/>
      <c r="AC50" s="48"/>
      <c r="AD50" s="67"/>
      <c r="AE50" s="65">
        <v>58</v>
      </c>
      <c r="AF50" s="46"/>
      <c r="AG50" s="63"/>
      <c r="AH50" s="48"/>
      <c r="AI50" s="48"/>
      <c r="AJ50" s="48"/>
      <c r="AK50" s="67"/>
      <c r="AL50" s="65">
        <v>65</v>
      </c>
      <c r="AM50" s="46"/>
      <c r="AN50" s="63"/>
      <c r="AO50" s="48"/>
      <c r="AP50" s="48"/>
      <c r="AQ50" s="48"/>
      <c r="AR50" s="67"/>
      <c r="AS50" s="66">
        <v>64</v>
      </c>
      <c r="AU50" s="63"/>
      <c r="AV50" s="48"/>
      <c r="AW50" s="48"/>
      <c r="AX50" s="48"/>
      <c r="AY50" s="67"/>
      <c r="AZ50" s="66">
        <v>0</v>
      </c>
    </row>
    <row r="51" spans="1:52" ht="19.5" thickBot="1" x14ac:dyDescent="0.45">
      <c r="A51" s="12">
        <f t="shared" si="8"/>
        <v>37</v>
      </c>
      <c r="B51" s="167">
        <f t="shared" si="0"/>
        <v>0</v>
      </c>
      <c r="C51" s="5">
        <f>IF(AND(D51=1,E51=1),1,0)</f>
        <v>0</v>
      </c>
      <c r="D51" s="3">
        <f>IF(AND(N51&lt;UA値z,UA値z&lt;=R51),1,0)</f>
        <v>0</v>
      </c>
      <c r="E51" s="3">
        <f>IF(S51&lt;=ηAH,1,0)</f>
        <v>1</v>
      </c>
      <c r="F51" s="163">
        <f t="shared" si="1"/>
        <v>77</v>
      </c>
      <c r="G51" s="164">
        <f t="shared" si="2"/>
        <v>80</v>
      </c>
      <c r="H51" s="164">
        <f t="shared" si="3"/>
        <v>84</v>
      </c>
      <c r="I51" s="164">
        <f t="shared" si="4"/>
        <v>84</v>
      </c>
      <c r="J51" s="165">
        <f t="shared" si="5"/>
        <v>0</v>
      </c>
      <c r="N51" s="49">
        <v>1.54</v>
      </c>
      <c r="O51" s="50" t="s">
        <v>46</v>
      </c>
      <c r="P51" s="50" t="s">
        <v>45</v>
      </c>
      <c r="Q51" s="50" t="s">
        <v>42</v>
      </c>
      <c r="R51" s="68">
        <v>1.67</v>
      </c>
      <c r="S51" s="69">
        <v>2</v>
      </c>
      <c r="T51" s="50" t="s">
        <v>42</v>
      </c>
      <c r="U51" s="50" t="s">
        <v>43</v>
      </c>
      <c r="V51" s="50"/>
      <c r="W51" s="68"/>
      <c r="X51" s="55">
        <v>77</v>
      </c>
      <c r="Y51" s="50"/>
      <c r="Z51" s="69"/>
      <c r="AA51" s="50"/>
      <c r="AB51" s="50"/>
      <c r="AC51" s="50"/>
      <c r="AD51" s="68"/>
      <c r="AE51" s="55">
        <v>80</v>
      </c>
      <c r="AF51" s="50"/>
      <c r="AG51" s="69"/>
      <c r="AH51" s="50"/>
      <c r="AI51" s="50"/>
      <c r="AJ51" s="50"/>
      <c r="AK51" s="68"/>
      <c r="AL51" s="55">
        <v>84</v>
      </c>
      <c r="AM51" s="50"/>
      <c r="AN51" s="69"/>
      <c r="AO51" s="50"/>
      <c r="AP51" s="50"/>
      <c r="AQ51" s="50"/>
      <c r="AR51" s="68"/>
      <c r="AS51" s="56">
        <v>84</v>
      </c>
      <c r="AU51" s="69"/>
      <c r="AV51" s="50"/>
      <c r="AW51" s="50"/>
      <c r="AX51" s="50"/>
      <c r="AY51" s="68"/>
      <c r="AZ51" s="56">
        <v>0</v>
      </c>
    </row>
    <row r="52" spans="1:52" ht="19.5" thickBot="1" x14ac:dyDescent="0.45">
      <c r="A52" s="13">
        <f t="shared" si="8"/>
        <v>38</v>
      </c>
      <c r="B52" s="167">
        <f t="shared" si="0"/>
        <v>0</v>
      </c>
      <c r="C52" s="43">
        <f>IF(AND(D52=1,E52=1),1,0)</f>
        <v>0</v>
      </c>
      <c r="D52" s="42">
        <f>IF(N52&lt;UA値z,1,0)</f>
        <v>0</v>
      </c>
      <c r="E52" s="42">
        <f>IF(S52&lt;=ηAH,1,0)</f>
        <v>1</v>
      </c>
      <c r="F52" s="160">
        <f t="shared" si="1"/>
        <v>394</v>
      </c>
      <c r="G52" s="161">
        <f t="shared" si="2"/>
        <v>400</v>
      </c>
      <c r="H52" s="161">
        <f t="shared" si="3"/>
        <v>321</v>
      </c>
      <c r="I52" s="161">
        <f t="shared" si="4"/>
        <v>320</v>
      </c>
      <c r="J52" s="162">
        <f t="shared" si="5"/>
        <v>0</v>
      </c>
      <c r="N52" s="49">
        <v>1.67</v>
      </c>
      <c r="O52" s="50" t="s">
        <v>46</v>
      </c>
      <c r="P52" s="50" t="s">
        <v>45</v>
      </c>
      <c r="Q52" s="50"/>
      <c r="R52" s="68"/>
      <c r="S52" s="69">
        <v>2</v>
      </c>
      <c r="T52" s="50" t="s">
        <v>42</v>
      </c>
      <c r="U52" s="50" t="s">
        <v>43</v>
      </c>
      <c r="V52" s="50"/>
      <c r="W52" s="68"/>
      <c r="X52" s="55">
        <v>394</v>
      </c>
      <c r="Y52" s="50"/>
      <c r="Z52" s="69"/>
      <c r="AA52" s="50"/>
      <c r="AB52" s="50"/>
      <c r="AC52" s="50"/>
      <c r="AD52" s="68"/>
      <c r="AE52" s="55">
        <v>400</v>
      </c>
      <c r="AF52" s="50"/>
      <c r="AG52" s="69"/>
      <c r="AH52" s="50"/>
      <c r="AI52" s="50"/>
      <c r="AJ52" s="50"/>
      <c r="AK52" s="68"/>
      <c r="AL52" s="55">
        <v>321</v>
      </c>
      <c r="AM52" s="50"/>
      <c r="AN52" s="69"/>
      <c r="AO52" s="50"/>
      <c r="AP52" s="50"/>
      <c r="AQ52" s="50"/>
      <c r="AR52" s="68"/>
      <c r="AS52" s="56">
        <v>320</v>
      </c>
      <c r="AU52" s="69"/>
      <c r="AV52" s="50"/>
      <c r="AW52" s="50"/>
      <c r="AX52" s="50"/>
      <c r="AY52" s="68"/>
      <c r="AZ52" s="56">
        <v>0</v>
      </c>
    </row>
    <row r="53" spans="1:52" x14ac:dyDescent="0.4">
      <c r="A53" s="447" t="s">
        <v>245</v>
      </c>
      <c r="B53" s="449">
        <f>SUM(B15:B52)</f>
        <v>33</v>
      </c>
    </row>
    <row r="54" spans="1:52" ht="19.5" thickBot="1" x14ac:dyDescent="0.45">
      <c r="A54" s="448"/>
      <c r="B54" s="450"/>
      <c r="M54" t="s">
        <v>131</v>
      </c>
    </row>
    <row r="55" spans="1:52" x14ac:dyDescent="0.4">
      <c r="S55" s="467" t="s">
        <v>172</v>
      </c>
      <c r="T55" s="467"/>
      <c r="U55" s="467"/>
      <c r="V55" s="467"/>
      <c r="W55" s="467"/>
      <c r="X55" s="467"/>
      <c r="Z55" s="467" t="s">
        <v>172</v>
      </c>
      <c r="AA55" s="467"/>
      <c r="AB55" s="467"/>
      <c r="AC55" s="467"/>
      <c r="AD55" s="467"/>
      <c r="AE55" s="467"/>
      <c r="AG55" s="467" t="s">
        <v>172</v>
      </c>
      <c r="AH55" s="467"/>
      <c r="AI55" s="467"/>
      <c r="AJ55" s="467"/>
      <c r="AK55" s="467"/>
      <c r="AL55" s="467"/>
      <c r="AN55" s="467" t="s">
        <v>172</v>
      </c>
      <c r="AO55" s="467"/>
      <c r="AP55" s="467"/>
      <c r="AQ55" s="467"/>
      <c r="AR55" s="467"/>
      <c r="AS55" s="467"/>
      <c r="AU55" s="467" t="s">
        <v>172</v>
      </c>
      <c r="AV55" s="467"/>
      <c r="AW55" s="467"/>
      <c r="AX55" s="467"/>
      <c r="AY55" s="467"/>
      <c r="AZ55" s="467"/>
    </row>
    <row r="56" spans="1:52" x14ac:dyDescent="0.4">
      <c r="S56" s="467"/>
      <c r="T56" s="467"/>
      <c r="U56" s="467"/>
      <c r="V56" s="467"/>
      <c r="W56" s="467"/>
      <c r="X56" s="467"/>
      <c r="Z56" s="467"/>
      <c r="AA56" s="467"/>
      <c r="AB56" s="467"/>
      <c r="AC56" s="467"/>
      <c r="AD56" s="467"/>
      <c r="AE56" s="467"/>
      <c r="AG56" s="467"/>
      <c r="AH56" s="467"/>
      <c r="AI56" s="467"/>
      <c r="AJ56" s="467"/>
      <c r="AK56" s="467"/>
      <c r="AL56" s="467"/>
      <c r="AN56" s="467"/>
      <c r="AO56" s="467"/>
      <c r="AP56" s="467"/>
      <c r="AQ56" s="467"/>
      <c r="AR56" s="467"/>
      <c r="AS56" s="467"/>
      <c r="AU56" s="467"/>
      <c r="AV56" s="467"/>
      <c r="AW56" s="467"/>
      <c r="AX56" s="467"/>
      <c r="AY56" s="467"/>
      <c r="AZ56" s="467"/>
    </row>
    <row r="57" spans="1:52" x14ac:dyDescent="0.4">
      <c r="S57" s="467"/>
      <c r="T57" s="467"/>
      <c r="U57" s="467"/>
      <c r="V57" s="467"/>
      <c r="W57" s="467"/>
      <c r="X57" s="467"/>
      <c r="Z57" s="467"/>
      <c r="AA57" s="467"/>
      <c r="AB57" s="467"/>
      <c r="AC57" s="467"/>
      <c r="AD57" s="467"/>
      <c r="AE57" s="467"/>
      <c r="AG57" s="467"/>
      <c r="AH57" s="467"/>
      <c r="AI57" s="467"/>
      <c r="AJ57" s="467"/>
      <c r="AK57" s="467"/>
      <c r="AL57" s="467"/>
      <c r="AN57" s="467"/>
      <c r="AO57" s="467"/>
      <c r="AP57" s="467"/>
      <c r="AQ57" s="467"/>
      <c r="AR57" s="467"/>
      <c r="AS57" s="467"/>
      <c r="AU57" s="467"/>
      <c r="AV57" s="467"/>
      <c r="AW57" s="467"/>
      <c r="AX57" s="467"/>
      <c r="AY57" s="467"/>
      <c r="AZ57" s="467"/>
    </row>
    <row r="58" spans="1:52" x14ac:dyDescent="0.4">
      <c r="S58" s="467"/>
      <c r="T58" s="467"/>
      <c r="U58" s="467"/>
      <c r="V58" s="467"/>
      <c r="W58" s="467"/>
      <c r="X58" s="467"/>
      <c r="Z58" s="467"/>
      <c r="AA58" s="467"/>
      <c r="AB58" s="467"/>
      <c r="AC58" s="467"/>
      <c r="AD58" s="467"/>
      <c r="AE58" s="467"/>
      <c r="AG58" s="467"/>
      <c r="AH58" s="467"/>
      <c r="AI58" s="467"/>
      <c r="AJ58" s="467"/>
      <c r="AK58" s="467"/>
      <c r="AL58" s="467"/>
      <c r="AN58" s="467"/>
      <c r="AO58" s="467"/>
      <c r="AP58" s="467"/>
      <c r="AQ58" s="467"/>
      <c r="AR58" s="467"/>
      <c r="AS58" s="467"/>
      <c r="AU58" s="467"/>
      <c r="AV58" s="467"/>
      <c r="AW58" s="467"/>
      <c r="AX58" s="467"/>
      <c r="AY58" s="467"/>
      <c r="AZ58" s="467"/>
    </row>
    <row r="59" spans="1:52" x14ac:dyDescent="0.4">
      <c r="S59" s="467"/>
      <c r="T59" s="467"/>
      <c r="U59" s="467"/>
      <c r="V59" s="467"/>
      <c r="W59" s="467"/>
      <c r="X59" s="467"/>
      <c r="Z59" s="467"/>
      <c r="AA59" s="467"/>
      <c r="AB59" s="467"/>
      <c r="AC59" s="467"/>
      <c r="AD59" s="467"/>
      <c r="AE59" s="467"/>
      <c r="AG59" s="467"/>
      <c r="AH59" s="467"/>
      <c r="AI59" s="467"/>
      <c r="AJ59" s="467"/>
      <c r="AK59" s="467"/>
      <c r="AL59" s="467"/>
      <c r="AN59" s="467"/>
      <c r="AO59" s="467"/>
      <c r="AP59" s="467"/>
      <c r="AQ59" s="467"/>
      <c r="AR59" s="467"/>
      <c r="AS59" s="467"/>
      <c r="AU59" s="467"/>
      <c r="AV59" s="467"/>
      <c r="AW59" s="467"/>
      <c r="AX59" s="467"/>
      <c r="AY59" s="467"/>
      <c r="AZ59" s="467"/>
    </row>
    <row r="60" spans="1:52" x14ac:dyDescent="0.4">
      <c r="B60" s="444" t="s">
        <v>246</v>
      </c>
      <c r="C60" s="445"/>
      <c r="D60" s="445"/>
      <c r="E60" s="445"/>
      <c r="F60" s="445"/>
      <c r="G60" s="445"/>
      <c r="H60" s="445"/>
      <c r="I60" s="445"/>
      <c r="J60" s="445"/>
      <c r="K60" s="12"/>
      <c r="S60" s="467"/>
      <c r="T60" s="467"/>
      <c r="U60" s="467"/>
      <c r="V60" s="467"/>
      <c r="W60" s="467"/>
      <c r="X60" s="467"/>
      <c r="Z60" s="467"/>
      <c r="AA60" s="467"/>
      <c r="AB60" s="467"/>
      <c r="AC60" s="467"/>
      <c r="AD60" s="467"/>
      <c r="AE60" s="467"/>
      <c r="AG60" s="467"/>
      <c r="AH60" s="467"/>
      <c r="AI60" s="467"/>
      <c r="AJ60" s="467"/>
      <c r="AK60" s="467"/>
      <c r="AL60" s="467"/>
      <c r="AN60" s="467"/>
      <c r="AO60" s="467"/>
      <c r="AP60" s="467"/>
      <c r="AQ60" s="467"/>
      <c r="AR60" s="467"/>
      <c r="AS60" s="467"/>
      <c r="AU60" s="467"/>
      <c r="AV60" s="467"/>
      <c r="AW60" s="467"/>
      <c r="AX60" s="467"/>
      <c r="AY60" s="467"/>
      <c r="AZ60" s="467"/>
    </row>
    <row r="61" spans="1:52" ht="19.5" thickBot="1" x14ac:dyDescent="0.45">
      <c r="B61" s="451" t="s">
        <v>235</v>
      </c>
      <c r="C61" s="452"/>
      <c r="D61" s="454" t="s">
        <v>45</v>
      </c>
      <c r="E61" s="454" t="s">
        <v>203</v>
      </c>
      <c r="F61" s="444" t="s">
        <v>44</v>
      </c>
      <c r="G61" s="445"/>
      <c r="H61" s="445"/>
      <c r="I61" s="445"/>
      <c r="J61" s="445"/>
      <c r="K61" s="12"/>
      <c r="S61" s="468"/>
      <c r="T61" s="468"/>
      <c r="U61" s="468"/>
      <c r="V61" s="468"/>
      <c r="W61" s="468"/>
      <c r="X61" s="468"/>
      <c r="Z61" s="468"/>
      <c r="AA61" s="468"/>
      <c r="AB61" s="468"/>
      <c r="AC61" s="468"/>
      <c r="AD61" s="468"/>
      <c r="AE61" s="468"/>
      <c r="AG61" s="468"/>
      <c r="AH61" s="468"/>
      <c r="AI61" s="468"/>
      <c r="AJ61" s="468"/>
      <c r="AK61" s="468"/>
      <c r="AL61" s="468"/>
      <c r="AN61" s="468"/>
      <c r="AO61" s="468"/>
      <c r="AP61" s="468"/>
      <c r="AQ61" s="468"/>
      <c r="AR61" s="468"/>
      <c r="AS61" s="468"/>
      <c r="AU61" s="468"/>
      <c r="AV61" s="468"/>
      <c r="AW61" s="468"/>
      <c r="AX61" s="468"/>
      <c r="AY61" s="468"/>
      <c r="AZ61" s="468"/>
    </row>
    <row r="62" spans="1:52" ht="19.5" thickBot="1" x14ac:dyDescent="0.45">
      <c r="A62" s="3" t="s">
        <v>244</v>
      </c>
      <c r="B62" s="41" t="s">
        <v>44</v>
      </c>
      <c r="C62" s="42" t="s">
        <v>242</v>
      </c>
      <c r="D62" s="455"/>
      <c r="E62" s="455"/>
      <c r="F62" s="3">
        <v>1</v>
      </c>
      <c r="G62" s="3">
        <v>2</v>
      </c>
      <c r="H62" s="3">
        <v>3</v>
      </c>
      <c r="I62" s="3">
        <v>4</v>
      </c>
      <c r="J62" s="3">
        <v>5</v>
      </c>
      <c r="N62" s="460" t="s">
        <v>41</v>
      </c>
      <c r="O62" s="461"/>
      <c r="P62" s="461"/>
      <c r="Q62" s="461"/>
      <c r="R62" s="461"/>
      <c r="S62" s="461" t="s">
        <v>230</v>
      </c>
      <c r="T62" s="461"/>
      <c r="U62" s="461"/>
      <c r="V62" s="461"/>
      <c r="W62" s="461"/>
      <c r="X62" s="55" t="s">
        <v>44</v>
      </c>
      <c r="Y62" s="50"/>
      <c r="Z62" s="461" t="s">
        <v>230</v>
      </c>
      <c r="AA62" s="461"/>
      <c r="AB62" s="461"/>
      <c r="AC62" s="461"/>
      <c r="AD62" s="461"/>
      <c r="AE62" s="55" t="s">
        <v>44</v>
      </c>
      <c r="AF62" s="50"/>
      <c r="AG62" s="461" t="s">
        <v>230</v>
      </c>
      <c r="AH62" s="461"/>
      <c r="AI62" s="461"/>
      <c r="AJ62" s="461"/>
      <c r="AK62" s="461"/>
      <c r="AL62" s="55" t="s">
        <v>44</v>
      </c>
      <c r="AM62" s="50"/>
      <c r="AN62" s="461" t="s">
        <v>230</v>
      </c>
      <c r="AO62" s="461"/>
      <c r="AP62" s="461"/>
      <c r="AQ62" s="461"/>
      <c r="AR62" s="461"/>
      <c r="AS62" s="56" t="s">
        <v>44</v>
      </c>
      <c r="AU62" s="461" t="s">
        <v>230</v>
      </c>
      <c r="AV62" s="461"/>
      <c r="AW62" s="461"/>
      <c r="AX62" s="461"/>
      <c r="AY62" s="461"/>
      <c r="AZ62" s="56" t="s">
        <v>44</v>
      </c>
    </row>
    <row r="63" spans="1:52" x14ac:dyDescent="0.4">
      <c r="A63" s="38">
        <v>1</v>
      </c>
      <c r="B63" s="149">
        <f t="shared" ref="B63:B98" si="13">IF(C63=1,INDEX(冷房設備配列5地域,A63,暖房方式番号Z),0)</f>
        <v>0</v>
      </c>
      <c r="C63" s="40">
        <f>IF(AND(D63=1,E63=1),1,0)</f>
        <v>0</v>
      </c>
      <c r="D63" s="40">
        <f>IF(AND(N63&lt;=UA値z,UA値z&lt;R63),1,0)</f>
        <v>1</v>
      </c>
      <c r="E63" s="40">
        <f>IF(ηAC値Z&lt;=W63,1,0)</f>
        <v>0</v>
      </c>
      <c r="F63" s="154">
        <f t="shared" ref="F63:F98" si="14">IF(E63=1,X63,0)</f>
        <v>0</v>
      </c>
      <c r="G63" s="155">
        <f t="shared" ref="G63:G98" si="15">IF(E63=1,AE63,0)</f>
        <v>0</v>
      </c>
      <c r="H63" s="155">
        <f t="shared" ref="H63:H98" si="16">IF(E63=1,AL63,0)</f>
        <v>0</v>
      </c>
      <c r="I63" s="155">
        <f t="shared" ref="I63:I98" si="17">IF(E63=1,AS63,0)</f>
        <v>0</v>
      </c>
      <c r="J63" s="156">
        <f t="shared" ref="J63:J98" si="18">IF(E63=1,AZ63,0)</f>
        <v>0</v>
      </c>
      <c r="N63" s="458">
        <v>0.6</v>
      </c>
      <c r="O63" s="459" t="s">
        <v>42</v>
      </c>
      <c r="P63" s="459" t="s">
        <v>45</v>
      </c>
      <c r="Q63" s="459" t="s">
        <v>46</v>
      </c>
      <c r="R63" s="465">
        <v>0.69</v>
      </c>
      <c r="S63" s="70"/>
      <c r="T63" s="47"/>
      <c r="U63" s="47" t="s">
        <v>47</v>
      </c>
      <c r="V63" s="47" t="s">
        <v>42</v>
      </c>
      <c r="W63" s="58">
        <v>2</v>
      </c>
      <c r="X63" s="59">
        <v>3</v>
      </c>
      <c r="Y63" s="60"/>
      <c r="Z63" s="70"/>
      <c r="AA63" s="47"/>
      <c r="AB63" s="47"/>
      <c r="AC63" s="47"/>
      <c r="AD63" s="58"/>
      <c r="AE63" s="59">
        <v>3</v>
      </c>
      <c r="AF63" s="60"/>
      <c r="AG63" s="70"/>
      <c r="AH63" s="47"/>
      <c r="AI63" s="47"/>
      <c r="AJ63" s="47"/>
      <c r="AK63" s="58"/>
      <c r="AL63" s="59">
        <v>3</v>
      </c>
      <c r="AM63" s="60"/>
      <c r="AN63" s="70"/>
      <c r="AO63" s="47"/>
      <c r="AP63" s="47"/>
      <c r="AQ63" s="47"/>
      <c r="AR63" s="58"/>
      <c r="AS63" s="61">
        <v>3</v>
      </c>
      <c r="AU63" s="70"/>
      <c r="AV63" s="47"/>
      <c r="AW63" s="47"/>
      <c r="AX63" s="47"/>
      <c r="AY63" s="58"/>
      <c r="AZ63" s="61">
        <v>0</v>
      </c>
    </row>
    <row r="64" spans="1:52" x14ac:dyDescent="0.4">
      <c r="A64" s="12">
        <f>A63+1</f>
        <v>2</v>
      </c>
      <c r="B64" s="77">
        <f t="shared" si="13"/>
        <v>4</v>
      </c>
      <c r="C64" s="41">
        <f>IF(AND(D64=1,E64=1),1,0)</f>
        <v>1</v>
      </c>
      <c r="D64" s="41">
        <f>D63</f>
        <v>1</v>
      </c>
      <c r="E64" s="41">
        <f>IF(AND(S64&lt;ηAC値Z,ηAC値Z&lt;=W64),1,0)</f>
        <v>1</v>
      </c>
      <c r="F64" s="157">
        <f t="shared" si="14"/>
        <v>4</v>
      </c>
      <c r="G64" s="158">
        <f t="shared" si="15"/>
        <v>4</v>
      </c>
      <c r="H64" s="158">
        <f t="shared" si="16"/>
        <v>4</v>
      </c>
      <c r="I64" s="158">
        <f t="shared" si="17"/>
        <v>4</v>
      </c>
      <c r="J64" s="159">
        <f t="shared" si="18"/>
        <v>0</v>
      </c>
      <c r="N64" s="456"/>
      <c r="O64" s="457"/>
      <c r="P64" s="457"/>
      <c r="Q64" s="457"/>
      <c r="R64" s="462"/>
      <c r="S64" s="53">
        <v>2</v>
      </c>
      <c r="T64" s="7" t="s">
        <v>46</v>
      </c>
      <c r="U64" s="7" t="s">
        <v>47</v>
      </c>
      <c r="V64" s="7" t="s">
        <v>42</v>
      </c>
      <c r="W64" s="52">
        <v>2.5</v>
      </c>
      <c r="X64" s="3">
        <v>4</v>
      </c>
      <c r="Z64" s="53"/>
      <c r="AA64" s="7"/>
      <c r="AB64" s="7"/>
      <c r="AC64" s="7"/>
      <c r="AD64" s="52"/>
      <c r="AE64" s="3">
        <v>4</v>
      </c>
      <c r="AG64" s="53"/>
      <c r="AH64" s="7"/>
      <c r="AI64" s="7"/>
      <c r="AJ64" s="7"/>
      <c r="AK64" s="52"/>
      <c r="AL64" s="3">
        <v>4</v>
      </c>
      <c r="AN64" s="53"/>
      <c r="AO64" s="7"/>
      <c r="AP64" s="7"/>
      <c r="AQ64" s="7"/>
      <c r="AR64" s="52"/>
      <c r="AS64" s="62">
        <v>4</v>
      </c>
      <c r="AU64" s="53"/>
      <c r="AV64" s="7"/>
      <c r="AW64" s="7"/>
      <c r="AX64" s="7"/>
      <c r="AY64" s="52"/>
      <c r="AZ64" s="62">
        <v>0</v>
      </c>
    </row>
    <row r="65" spans="1:52" x14ac:dyDescent="0.4">
      <c r="A65" s="12">
        <f t="shared" ref="A65:A98" si="19">A64+1</f>
        <v>3</v>
      </c>
      <c r="B65" s="77">
        <f t="shared" si="13"/>
        <v>0</v>
      </c>
      <c r="C65" s="41">
        <f t="shared" ref="C65:C98" si="20">IF(AND(D65=1,E65=1),1,0)</f>
        <v>0</v>
      </c>
      <c r="D65" s="41">
        <f>D63</f>
        <v>1</v>
      </c>
      <c r="E65" s="41">
        <f>IF(AND(S65&lt;ηAC値Z,ηAC値Z&lt;=W65),1,0)</f>
        <v>0</v>
      </c>
      <c r="F65" s="157">
        <f t="shared" si="14"/>
        <v>0</v>
      </c>
      <c r="G65" s="158">
        <f t="shared" si="15"/>
        <v>0</v>
      </c>
      <c r="H65" s="158">
        <f t="shared" si="16"/>
        <v>0</v>
      </c>
      <c r="I65" s="158">
        <f t="shared" si="17"/>
        <v>0</v>
      </c>
      <c r="J65" s="159">
        <f t="shared" si="18"/>
        <v>0</v>
      </c>
      <c r="N65" s="456"/>
      <c r="O65" s="457"/>
      <c r="P65" s="457"/>
      <c r="Q65" s="457"/>
      <c r="R65" s="462"/>
      <c r="S65" s="53">
        <v>2.5</v>
      </c>
      <c r="T65" s="7" t="s">
        <v>46</v>
      </c>
      <c r="U65" s="7" t="s">
        <v>47</v>
      </c>
      <c r="V65" s="7" t="s">
        <v>42</v>
      </c>
      <c r="W65" s="52">
        <v>3</v>
      </c>
      <c r="X65" s="3">
        <v>4</v>
      </c>
      <c r="Z65" s="53"/>
      <c r="AA65" s="7"/>
      <c r="AB65" s="7"/>
      <c r="AC65" s="7"/>
      <c r="AD65" s="52"/>
      <c r="AE65" s="3">
        <v>5</v>
      </c>
      <c r="AG65" s="53"/>
      <c r="AH65" s="7"/>
      <c r="AI65" s="7"/>
      <c r="AJ65" s="7"/>
      <c r="AK65" s="52"/>
      <c r="AL65" s="3">
        <v>5</v>
      </c>
      <c r="AN65" s="53"/>
      <c r="AO65" s="7"/>
      <c r="AP65" s="7"/>
      <c r="AQ65" s="7"/>
      <c r="AR65" s="52"/>
      <c r="AS65" s="62">
        <v>5</v>
      </c>
      <c r="AU65" s="53"/>
      <c r="AV65" s="7"/>
      <c r="AW65" s="7"/>
      <c r="AX65" s="7"/>
      <c r="AY65" s="52"/>
      <c r="AZ65" s="62">
        <v>0</v>
      </c>
    </row>
    <row r="66" spans="1:52" x14ac:dyDescent="0.4">
      <c r="A66" s="12">
        <f t="shared" si="19"/>
        <v>4</v>
      </c>
      <c r="B66" s="77">
        <f t="shared" si="13"/>
        <v>0</v>
      </c>
      <c r="C66" s="41">
        <f t="shared" si="20"/>
        <v>0</v>
      </c>
      <c r="D66" s="41">
        <f>D63</f>
        <v>1</v>
      </c>
      <c r="E66" s="41">
        <f>IF(AND(S66&lt;ηAC値Z,ηAC値Z&lt;=W66),1,0)</f>
        <v>0</v>
      </c>
      <c r="F66" s="157">
        <f t="shared" si="14"/>
        <v>0</v>
      </c>
      <c r="G66" s="158">
        <f t="shared" si="15"/>
        <v>0</v>
      </c>
      <c r="H66" s="158">
        <f t="shared" si="16"/>
        <v>0</v>
      </c>
      <c r="I66" s="158">
        <f t="shared" si="17"/>
        <v>0</v>
      </c>
      <c r="J66" s="159">
        <f t="shared" si="18"/>
        <v>0</v>
      </c>
      <c r="N66" s="456"/>
      <c r="O66" s="457"/>
      <c r="P66" s="457"/>
      <c r="Q66" s="457"/>
      <c r="R66" s="462"/>
      <c r="S66" s="53">
        <v>3</v>
      </c>
      <c r="T66" s="7" t="s">
        <v>46</v>
      </c>
      <c r="U66" s="7" t="s">
        <v>47</v>
      </c>
      <c r="V66" s="7" t="s">
        <v>42</v>
      </c>
      <c r="W66" s="52">
        <v>3.5</v>
      </c>
      <c r="X66" s="3">
        <v>5</v>
      </c>
      <c r="Z66" s="53"/>
      <c r="AA66" s="7"/>
      <c r="AB66" s="7"/>
      <c r="AC66" s="7"/>
      <c r="AD66" s="52"/>
      <c r="AE66" s="3">
        <v>5</v>
      </c>
      <c r="AG66" s="53"/>
      <c r="AH66" s="7"/>
      <c r="AI66" s="7"/>
      <c r="AJ66" s="7"/>
      <c r="AK66" s="52"/>
      <c r="AL66" s="3">
        <v>5</v>
      </c>
      <c r="AN66" s="53"/>
      <c r="AO66" s="7"/>
      <c r="AP66" s="7"/>
      <c r="AQ66" s="7"/>
      <c r="AR66" s="52"/>
      <c r="AS66" s="62">
        <v>5</v>
      </c>
      <c r="AU66" s="53"/>
      <c r="AV66" s="7"/>
      <c r="AW66" s="7"/>
      <c r="AX66" s="7"/>
      <c r="AY66" s="52"/>
      <c r="AZ66" s="62">
        <v>0</v>
      </c>
    </row>
    <row r="67" spans="1:52" x14ac:dyDescent="0.4">
      <c r="A67" s="12">
        <f t="shared" si="19"/>
        <v>5</v>
      </c>
      <c r="B67" s="77">
        <f t="shared" si="13"/>
        <v>0</v>
      </c>
      <c r="C67" s="41">
        <f t="shared" si="20"/>
        <v>0</v>
      </c>
      <c r="D67" s="41">
        <f>D63</f>
        <v>1</v>
      </c>
      <c r="E67" s="41">
        <f>IF(AND(S67&lt;ηAC値Z,ηAC値Z&lt;=W67),1,0)</f>
        <v>0</v>
      </c>
      <c r="F67" s="157">
        <f t="shared" si="14"/>
        <v>0</v>
      </c>
      <c r="G67" s="158">
        <f t="shared" si="15"/>
        <v>0</v>
      </c>
      <c r="H67" s="158">
        <f t="shared" si="16"/>
        <v>0</v>
      </c>
      <c r="I67" s="158">
        <f t="shared" si="17"/>
        <v>0</v>
      </c>
      <c r="J67" s="159">
        <f t="shared" si="18"/>
        <v>0</v>
      </c>
      <c r="N67" s="456"/>
      <c r="O67" s="457"/>
      <c r="P67" s="457"/>
      <c r="Q67" s="457"/>
      <c r="R67" s="462"/>
      <c r="S67" s="53">
        <v>3.5</v>
      </c>
      <c r="T67" s="7" t="s">
        <v>46</v>
      </c>
      <c r="U67" s="7" t="s">
        <v>47</v>
      </c>
      <c r="V67" s="7" t="s">
        <v>42</v>
      </c>
      <c r="W67" s="52">
        <v>4</v>
      </c>
      <c r="X67" s="3">
        <v>5</v>
      </c>
      <c r="Z67" s="53"/>
      <c r="AA67" s="7"/>
      <c r="AB67" s="7"/>
      <c r="AC67" s="7"/>
      <c r="AD67" s="52"/>
      <c r="AE67" s="3">
        <v>6</v>
      </c>
      <c r="AG67" s="53"/>
      <c r="AH67" s="7"/>
      <c r="AI67" s="7"/>
      <c r="AJ67" s="7"/>
      <c r="AK67" s="52"/>
      <c r="AL67" s="3">
        <v>6</v>
      </c>
      <c r="AN67" s="53"/>
      <c r="AO67" s="7"/>
      <c r="AP67" s="7"/>
      <c r="AQ67" s="7"/>
      <c r="AR67" s="52"/>
      <c r="AS67" s="62">
        <v>6</v>
      </c>
      <c r="AU67" s="53"/>
      <c r="AV67" s="7"/>
      <c r="AW67" s="7"/>
      <c r="AX67" s="7"/>
      <c r="AY67" s="52"/>
      <c r="AZ67" s="62">
        <v>0</v>
      </c>
    </row>
    <row r="68" spans="1:52" ht="19.5" thickBot="1" x14ac:dyDescent="0.45">
      <c r="A68" s="12">
        <f t="shared" si="19"/>
        <v>6</v>
      </c>
      <c r="B68" s="77">
        <f t="shared" si="13"/>
        <v>0</v>
      </c>
      <c r="C68" s="41">
        <f t="shared" si="20"/>
        <v>0</v>
      </c>
      <c r="D68" s="42">
        <f>D63</f>
        <v>1</v>
      </c>
      <c r="E68" s="41">
        <f>IF(AND(S68&lt;ηAC値Z,ηAC値Z&lt;=W68),1,0)</f>
        <v>0</v>
      </c>
      <c r="F68" s="160">
        <f t="shared" si="14"/>
        <v>0</v>
      </c>
      <c r="G68" s="161">
        <f t="shared" si="15"/>
        <v>0</v>
      </c>
      <c r="H68" s="161">
        <f t="shared" si="16"/>
        <v>0</v>
      </c>
      <c r="I68" s="161">
        <f t="shared" si="17"/>
        <v>0</v>
      </c>
      <c r="J68" s="162">
        <f t="shared" si="18"/>
        <v>0</v>
      </c>
      <c r="N68" s="463"/>
      <c r="O68" s="464"/>
      <c r="P68" s="464"/>
      <c r="Q68" s="464"/>
      <c r="R68" s="466"/>
      <c r="S68" s="63">
        <v>4</v>
      </c>
      <c r="T68" s="48" t="s">
        <v>46</v>
      </c>
      <c r="U68" s="48" t="s">
        <v>47</v>
      </c>
      <c r="V68" s="48" t="s">
        <v>42</v>
      </c>
      <c r="W68" s="64">
        <v>4.5</v>
      </c>
      <c r="X68" s="65">
        <v>6</v>
      </c>
      <c r="Y68" s="46"/>
      <c r="Z68" s="63"/>
      <c r="AA68" s="48"/>
      <c r="AB68" s="48"/>
      <c r="AC68" s="48"/>
      <c r="AD68" s="64"/>
      <c r="AE68" s="65">
        <v>6</v>
      </c>
      <c r="AF68" s="46"/>
      <c r="AG68" s="63"/>
      <c r="AH68" s="48"/>
      <c r="AI68" s="48"/>
      <c r="AJ68" s="48"/>
      <c r="AK68" s="64"/>
      <c r="AL68" s="65">
        <v>6</v>
      </c>
      <c r="AM68" s="46"/>
      <c r="AN68" s="63"/>
      <c r="AO68" s="48"/>
      <c r="AP68" s="48"/>
      <c r="AQ68" s="48"/>
      <c r="AR68" s="64"/>
      <c r="AS68" s="66">
        <v>6</v>
      </c>
      <c r="AU68" s="63"/>
      <c r="AV68" s="48"/>
      <c r="AW68" s="48"/>
      <c r="AX68" s="48"/>
      <c r="AY68" s="64"/>
      <c r="AZ68" s="66">
        <v>0</v>
      </c>
    </row>
    <row r="69" spans="1:52" x14ac:dyDescent="0.4">
      <c r="A69" s="12">
        <f t="shared" si="19"/>
        <v>7</v>
      </c>
      <c r="B69" s="77">
        <f t="shared" si="13"/>
        <v>0</v>
      </c>
      <c r="C69" s="41">
        <f t="shared" si="20"/>
        <v>0</v>
      </c>
      <c r="D69" s="40">
        <f>IF(AND(N69&lt;=UA値z,UA値z&lt;R69),1,0)</f>
        <v>0</v>
      </c>
      <c r="E69" s="40">
        <f>IF(ηAC値Z&lt;=W69,1,0)</f>
        <v>0</v>
      </c>
      <c r="F69" s="154">
        <f t="shared" si="14"/>
        <v>0</v>
      </c>
      <c r="G69" s="155">
        <f t="shared" si="15"/>
        <v>0</v>
      </c>
      <c r="H69" s="155">
        <f t="shared" si="16"/>
        <v>0</v>
      </c>
      <c r="I69" s="155">
        <f t="shared" si="17"/>
        <v>0</v>
      </c>
      <c r="J69" s="156">
        <f t="shared" si="18"/>
        <v>0</v>
      </c>
      <c r="N69" s="458">
        <v>0.69</v>
      </c>
      <c r="O69" s="459" t="s">
        <v>42</v>
      </c>
      <c r="P69" s="459" t="s">
        <v>45</v>
      </c>
      <c r="Q69" s="459" t="s">
        <v>46</v>
      </c>
      <c r="R69" s="465">
        <v>0.78</v>
      </c>
      <c r="S69" s="70"/>
      <c r="T69" s="47"/>
      <c r="U69" s="47" t="s">
        <v>47</v>
      </c>
      <c r="V69" s="47" t="s">
        <v>42</v>
      </c>
      <c r="W69" s="58">
        <v>2</v>
      </c>
      <c r="X69" s="59">
        <v>3</v>
      </c>
      <c r="Y69" s="60"/>
      <c r="Z69" s="70"/>
      <c r="AA69" s="47"/>
      <c r="AB69" s="47"/>
      <c r="AC69" s="47"/>
      <c r="AD69" s="58"/>
      <c r="AE69" s="59">
        <v>3</v>
      </c>
      <c r="AF69" s="60"/>
      <c r="AG69" s="70"/>
      <c r="AH69" s="47"/>
      <c r="AI69" s="47"/>
      <c r="AJ69" s="47"/>
      <c r="AK69" s="58"/>
      <c r="AL69" s="59">
        <v>3</v>
      </c>
      <c r="AM69" s="60"/>
      <c r="AN69" s="70"/>
      <c r="AO69" s="47"/>
      <c r="AP69" s="47"/>
      <c r="AQ69" s="47"/>
      <c r="AR69" s="58"/>
      <c r="AS69" s="61">
        <v>3</v>
      </c>
      <c r="AU69" s="70"/>
      <c r="AV69" s="47"/>
      <c r="AW69" s="47"/>
      <c r="AX69" s="47"/>
      <c r="AY69" s="58"/>
      <c r="AZ69" s="61">
        <v>0</v>
      </c>
    </row>
    <row r="70" spans="1:52" x14ac:dyDescent="0.4">
      <c r="A70" s="12">
        <f t="shared" si="19"/>
        <v>8</v>
      </c>
      <c r="B70" s="77">
        <f t="shared" si="13"/>
        <v>0</v>
      </c>
      <c r="C70" s="41">
        <f t="shared" si="20"/>
        <v>0</v>
      </c>
      <c r="D70" s="41">
        <f>D69</f>
        <v>0</v>
      </c>
      <c r="E70" s="41">
        <f>IF(AND(S70&lt;ηAC値Z,ηAC値Z&lt;=W70),1,0)</f>
        <v>1</v>
      </c>
      <c r="F70" s="157">
        <f t="shared" si="14"/>
        <v>4</v>
      </c>
      <c r="G70" s="158">
        <f t="shared" si="15"/>
        <v>4</v>
      </c>
      <c r="H70" s="158">
        <f t="shared" si="16"/>
        <v>4</v>
      </c>
      <c r="I70" s="158">
        <f t="shared" si="17"/>
        <v>4</v>
      </c>
      <c r="J70" s="159">
        <f t="shared" si="18"/>
        <v>0</v>
      </c>
      <c r="N70" s="456"/>
      <c r="O70" s="457"/>
      <c r="P70" s="457"/>
      <c r="Q70" s="457"/>
      <c r="R70" s="462"/>
      <c r="S70" s="53">
        <v>2</v>
      </c>
      <c r="T70" s="7" t="s">
        <v>46</v>
      </c>
      <c r="U70" s="7" t="s">
        <v>47</v>
      </c>
      <c r="V70" s="7" t="s">
        <v>42</v>
      </c>
      <c r="W70" s="52">
        <v>2.5</v>
      </c>
      <c r="X70" s="3">
        <v>4</v>
      </c>
      <c r="Z70" s="53"/>
      <c r="AA70" s="7"/>
      <c r="AB70" s="7"/>
      <c r="AC70" s="7"/>
      <c r="AD70" s="52"/>
      <c r="AE70" s="3">
        <v>4</v>
      </c>
      <c r="AG70" s="53"/>
      <c r="AH70" s="7"/>
      <c r="AI70" s="7"/>
      <c r="AJ70" s="7"/>
      <c r="AK70" s="52"/>
      <c r="AL70" s="3">
        <v>4</v>
      </c>
      <c r="AN70" s="53"/>
      <c r="AO70" s="7"/>
      <c r="AP70" s="7"/>
      <c r="AQ70" s="7"/>
      <c r="AR70" s="52"/>
      <c r="AS70" s="62">
        <v>4</v>
      </c>
      <c r="AU70" s="53"/>
      <c r="AV70" s="7"/>
      <c r="AW70" s="7"/>
      <c r="AX70" s="7"/>
      <c r="AY70" s="52"/>
      <c r="AZ70" s="62">
        <v>0</v>
      </c>
    </row>
    <row r="71" spans="1:52" x14ac:dyDescent="0.4">
      <c r="A71" s="12">
        <f t="shared" si="19"/>
        <v>9</v>
      </c>
      <c r="B71" s="77">
        <f t="shared" si="13"/>
        <v>0</v>
      </c>
      <c r="C71" s="41">
        <f t="shared" si="20"/>
        <v>0</v>
      </c>
      <c r="D71" s="41">
        <f>D69</f>
        <v>0</v>
      </c>
      <c r="E71" s="41">
        <f>IF(AND(S71&lt;ηAC値Z,ηAC値Z&lt;=W71),1,0)</f>
        <v>0</v>
      </c>
      <c r="F71" s="157">
        <f t="shared" si="14"/>
        <v>0</v>
      </c>
      <c r="G71" s="158">
        <f t="shared" si="15"/>
        <v>0</v>
      </c>
      <c r="H71" s="158">
        <f t="shared" si="16"/>
        <v>0</v>
      </c>
      <c r="I71" s="158">
        <f t="shared" si="17"/>
        <v>0</v>
      </c>
      <c r="J71" s="159">
        <f t="shared" si="18"/>
        <v>0</v>
      </c>
      <c r="N71" s="456"/>
      <c r="O71" s="457"/>
      <c r="P71" s="457"/>
      <c r="Q71" s="457"/>
      <c r="R71" s="462"/>
      <c r="S71" s="53">
        <v>2.5</v>
      </c>
      <c r="T71" s="7" t="s">
        <v>46</v>
      </c>
      <c r="U71" s="7" t="s">
        <v>47</v>
      </c>
      <c r="V71" s="7" t="s">
        <v>42</v>
      </c>
      <c r="W71" s="52">
        <v>3</v>
      </c>
      <c r="X71" s="3">
        <v>4</v>
      </c>
      <c r="Z71" s="53"/>
      <c r="AA71" s="7"/>
      <c r="AB71" s="7"/>
      <c r="AC71" s="7"/>
      <c r="AD71" s="52"/>
      <c r="AE71" s="3">
        <v>4</v>
      </c>
      <c r="AG71" s="53"/>
      <c r="AH71" s="7"/>
      <c r="AI71" s="7"/>
      <c r="AJ71" s="7"/>
      <c r="AK71" s="52"/>
      <c r="AL71" s="3">
        <v>4</v>
      </c>
      <c r="AN71" s="53"/>
      <c r="AO71" s="7"/>
      <c r="AP71" s="7"/>
      <c r="AQ71" s="7"/>
      <c r="AR71" s="52"/>
      <c r="AS71" s="62">
        <v>4</v>
      </c>
      <c r="AU71" s="53"/>
      <c r="AV71" s="7"/>
      <c r="AW71" s="7"/>
      <c r="AX71" s="7"/>
      <c r="AY71" s="52"/>
      <c r="AZ71" s="62">
        <v>0</v>
      </c>
    </row>
    <row r="72" spans="1:52" x14ac:dyDescent="0.4">
      <c r="A72" s="12">
        <f t="shared" si="19"/>
        <v>10</v>
      </c>
      <c r="B72" s="77">
        <f t="shared" si="13"/>
        <v>0</v>
      </c>
      <c r="C72" s="41">
        <f t="shared" si="20"/>
        <v>0</v>
      </c>
      <c r="D72" s="41">
        <f>D69</f>
        <v>0</v>
      </c>
      <c r="E72" s="41">
        <f>IF(AND(S72&lt;ηAC値Z,ηAC値Z&lt;=W72),1,0)</f>
        <v>0</v>
      </c>
      <c r="F72" s="157">
        <f t="shared" si="14"/>
        <v>0</v>
      </c>
      <c r="G72" s="158">
        <f t="shared" si="15"/>
        <v>0</v>
      </c>
      <c r="H72" s="158">
        <f t="shared" si="16"/>
        <v>0</v>
      </c>
      <c r="I72" s="158">
        <f t="shared" si="17"/>
        <v>0</v>
      </c>
      <c r="J72" s="159">
        <f t="shared" si="18"/>
        <v>0</v>
      </c>
      <c r="N72" s="456"/>
      <c r="O72" s="457"/>
      <c r="P72" s="457"/>
      <c r="Q72" s="457"/>
      <c r="R72" s="462"/>
      <c r="S72" s="53">
        <v>3</v>
      </c>
      <c r="T72" s="7" t="s">
        <v>46</v>
      </c>
      <c r="U72" s="7" t="s">
        <v>47</v>
      </c>
      <c r="V72" s="7" t="s">
        <v>42</v>
      </c>
      <c r="W72" s="52">
        <v>3.5</v>
      </c>
      <c r="X72" s="3">
        <v>5</v>
      </c>
      <c r="Z72" s="53"/>
      <c r="AA72" s="7"/>
      <c r="AB72" s="7"/>
      <c r="AC72" s="7"/>
      <c r="AD72" s="52"/>
      <c r="AE72" s="3">
        <v>5</v>
      </c>
      <c r="AG72" s="53"/>
      <c r="AH72" s="7"/>
      <c r="AI72" s="7"/>
      <c r="AJ72" s="7"/>
      <c r="AK72" s="52"/>
      <c r="AL72" s="3">
        <v>5</v>
      </c>
      <c r="AN72" s="53"/>
      <c r="AO72" s="7"/>
      <c r="AP72" s="7"/>
      <c r="AQ72" s="7"/>
      <c r="AR72" s="52"/>
      <c r="AS72" s="62">
        <v>5</v>
      </c>
      <c r="AU72" s="53"/>
      <c r="AV72" s="7"/>
      <c r="AW72" s="7"/>
      <c r="AX72" s="7"/>
      <c r="AY72" s="52"/>
      <c r="AZ72" s="62">
        <v>0</v>
      </c>
    </row>
    <row r="73" spans="1:52" x14ac:dyDescent="0.4">
      <c r="A73" s="12">
        <f t="shared" si="19"/>
        <v>11</v>
      </c>
      <c r="B73" s="77">
        <f t="shared" si="13"/>
        <v>0</v>
      </c>
      <c r="C73" s="41">
        <f t="shared" si="20"/>
        <v>0</v>
      </c>
      <c r="D73" s="41">
        <f>D69</f>
        <v>0</v>
      </c>
      <c r="E73" s="41">
        <f>IF(AND(S73&lt;ηAC値Z,ηAC値Z&lt;=W73),1,0)</f>
        <v>0</v>
      </c>
      <c r="F73" s="157">
        <f t="shared" si="14"/>
        <v>0</v>
      </c>
      <c r="G73" s="158">
        <f t="shared" si="15"/>
        <v>0</v>
      </c>
      <c r="H73" s="158">
        <f t="shared" si="16"/>
        <v>0</v>
      </c>
      <c r="I73" s="158">
        <f t="shared" si="17"/>
        <v>0</v>
      </c>
      <c r="J73" s="159">
        <f t="shared" si="18"/>
        <v>0</v>
      </c>
      <c r="N73" s="456"/>
      <c r="O73" s="457"/>
      <c r="P73" s="457"/>
      <c r="Q73" s="457"/>
      <c r="R73" s="462"/>
      <c r="S73" s="53">
        <v>3.5</v>
      </c>
      <c r="T73" s="7" t="s">
        <v>46</v>
      </c>
      <c r="U73" s="7" t="s">
        <v>47</v>
      </c>
      <c r="V73" s="7" t="s">
        <v>42</v>
      </c>
      <c r="W73" s="52">
        <v>4</v>
      </c>
      <c r="X73" s="3">
        <v>5</v>
      </c>
      <c r="Z73" s="53"/>
      <c r="AA73" s="7"/>
      <c r="AB73" s="7"/>
      <c r="AC73" s="7"/>
      <c r="AD73" s="52"/>
      <c r="AE73" s="3">
        <v>5</v>
      </c>
      <c r="AG73" s="53"/>
      <c r="AH73" s="7"/>
      <c r="AI73" s="7"/>
      <c r="AJ73" s="7"/>
      <c r="AK73" s="52"/>
      <c r="AL73" s="3">
        <v>5</v>
      </c>
      <c r="AN73" s="53"/>
      <c r="AO73" s="7"/>
      <c r="AP73" s="7"/>
      <c r="AQ73" s="7"/>
      <c r="AR73" s="52"/>
      <c r="AS73" s="62">
        <v>5</v>
      </c>
      <c r="AU73" s="53"/>
      <c r="AV73" s="7"/>
      <c r="AW73" s="7"/>
      <c r="AX73" s="7"/>
      <c r="AY73" s="52"/>
      <c r="AZ73" s="62">
        <v>0</v>
      </c>
    </row>
    <row r="74" spans="1:52" ht="19.5" thickBot="1" x14ac:dyDescent="0.45">
      <c r="A74" s="12">
        <f t="shared" si="19"/>
        <v>12</v>
      </c>
      <c r="B74" s="77">
        <f t="shared" si="13"/>
        <v>0</v>
      </c>
      <c r="C74" s="41">
        <f t="shared" si="20"/>
        <v>0</v>
      </c>
      <c r="D74" s="41">
        <f>D69</f>
        <v>0</v>
      </c>
      <c r="E74" s="41">
        <f>IF(AND(S74&lt;ηAC値Z,ηAC値Z&lt;=W74),1,0)</f>
        <v>0</v>
      </c>
      <c r="F74" s="160">
        <f t="shared" si="14"/>
        <v>0</v>
      </c>
      <c r="G74" s="161">
        <f t="shared" si="15"/>
        <v>0</v>
      </c>
      <c r="H74" s="161">
        <f t="shared" si="16"/>
        <v>0</v>
      </c>
      <c r="I74" s="161">
        <f t="shared" si="17"/>
        <v>0</v>
      </c>
      <c r="J74" s="162">
        <f t="shared" si="18"/>
        <v>0</v>
      </c>
      <c r="N74" s="456"/>
      <c r="O74" s="457"/>
      <c r="P74" s="457"/>
      <c r="Q74" s="457"/>
      <c r="R74" s="462"/>
      <c r="S74" s="71">
        <v>4</v>
      </c>
      <c r="T74" s="39" t="s">
        <v>46</v>
      </c>
      <c r="U74" s="39" t="s">
        <v>47</v>
      </c>
      <c r="V74" s="39" t="s">
        <v>42</v>
      </c>
      <c r="W74" s="72">
        <v>4.5</v>
      </c>
      <c r="X74" s="40">
        <v>6</v>
      </c>
      <c r="Z74" s="71"/>
      <c r="AA74" s="39"/>
      <c r="AB74" s="39"/>
      <c r="AC74" s="39"/>
      <c r="AD74" s="72"/>
      <c r="AE74" s="40">
        <v>6</v>
      </c>
      <c r="AG74" s="71"/>
      <c r="AH74" s="39"/>
      <c r="AI74" s="39"/>
      <c r="AJ74" s="39"/>
      <c r="AK74" s="72"/>
      <c r="AL74" s="40">
        <v>6</v>
      </c>
      <c r="AN74" s="71"/>
      <c r="AO74" s="39"/>
      <c r="AP74" s="39"/>
      <c r="AQ74" s="39"/>
      <c r="AR74" s="72"/>
      <c r="AS74" s="73">
        <v>6</v>
      </c>
      <c r="AU74" s="71"/>
      <c r="AV74" s="39"/>
      <c r="AW74" s="39"/>
      <c r="AX74" s="39"/>
      <c r="AY74" s="72"/>
      <c r="AZ74" s="73">
        <v>0</v>
      </c>
    </row>
    <row r="75" spans="1:52" x14ac:dyDescent="0.4">
      <c r="A75" s="12">
        <f t="shared" si="19"/>
        <v>13</v>
      </c>
      <c r="B75" s="77">
        <f t="shared" si="13"/>
        <v>0</v>
      </c>
      <c r="C75" s="41">
        <f t="shared" si="20"/>
        <v>0</v>
      </c>
      <c r="D75" s="40">
        <f>IF(AND(N75&lt;=UA値z,UA値z&lt;R75),1,0)</f>
        <v>0</v>
      </c>
      <c r="E75" s="40">
        <f>IF(ηAC値Z&lt;=W75,1,0)</f>
        <v>0</v>
      </c>
      <c r="F75" s="154">
        <f t="shared" si="14"/>
        <v>0</v>
      </c>
      <c r="G75" s="155">
        <f t="shared" si="15"/>
        <v>0</v>
      </c>
      <c r="H75" s="155">
        <f t="shared" si="16"/>
        <v>0</v>
      </c>
      <c r="I75" s="155">
        <f t="shared" si="17"/>
        <v>0</v>
      </c>
      <c r="J75" s="156">
        <f t="shared" si="18"/>
        <v>0</v>
      </c>
      <c r="N75" s="458">
        <v>0.78</v>
      </c>
      <c r="O75" s="459" t="s">
        <v>42</v>
      </c>
      <c r="P75" s="459" t="s">
        <v>45</v>
      </c>
      <c r="Q75" s="459" t="s">
        <v>46</v>
      </c>
      <c r="R75" s="465">
        <v>0.87</v>
      </c>
      <c r="S75" s="70"/>
      <c r="T75" s="47"/>
      <c r="U75" s="47" t="s">
        <v>47</v>
      </c>
      <c r="V75" s="47" t="s">
        <v>42</v>
      </c>
      <c r="W75" s="58">
        <v>2</v>
      </c>
      <c r="X75" s="59">
        <v>3</v>
      </c>
      <c r="Y75" s="60"/>
      <c r="Z75" s="70"/>
      <c r="AA75" s="47"/>
      <c r="AB75" s="47"/>
      <c r="AC75" s="47"/>
      <c r="AD75" s="58"/>
      <c r="AE75" s="59">
        <v>3</v>
      </c>
      <c r="AF75" s="60"/>
      <c r="AG75" s="70"/>
      <c r="AH75" s="47"/>
      <c r="AI75" s="47"/>
      <c r="AJ75" s="47"/>
      <c r="AK75" s="58"/>
      <c r="AL75" s="59">
        <v>3</v>
      </c>
      <c r="AM75" s="60"/>
      <c r="AN75" s="70"/>
      <c r="AO75" s="47"/>
      <c r="AP75" s="47"/>
      <c r="AQ75" s="47"/>
      <c r="AR75" s="58"/>
      <c r="AS75" s="61">
        <v>3</v>
      </c>
      <c r="AU75" s="70"/>
      <c r="AV75" s="47"/>
      <c r="AW75" s="47"/>
      <c r="AX75" s="47"/>
      <c r="AY75" s="58"/>
      <c r="AZ75" s="61">
        <v>0</v>
      </c>
    </row>
    <row r="76" spans="1:52" x14ac:dyDescent="0.4">
      <c r="A76" s="12">
        <f t="shared" si="19"/>
        <v>14</v>
      </c>
      <c r="B76" s="77">
        <f t="shared" si="13"/>
        <v>0</v>
      </c>
      <c r="C76" s="41">
        <f t="shared" si="20"/>
        <v>0</v>
      </c>
      <c r="D76" s="41">
        <f>D75</f>
        <v>0</v>
      </c>
      <c r="E76" s="41">
        <f>IF(AND(S76&lt;ηAC値Z,ηAC値Z&lt;=W76),1,0)</f>
        <v>1</v>
      </c>
      <c r="F76" s="157">
        <f t="shared" si="14"/>
        <v>4</v>
      </c>
      <c r="G76" s="158">
        <f t="shared" si="15"/>
        <v>4</v>
      </c>
      <c r="H76" s="158">
        <f t="shared" si="16"/>
        <v>4</v>
      </c>
      <c r="I76" s="158">
        <f t="shared" si="17"/>
        <v>4</v>
      </c>
      <c r="J76" s="159">
        <f t="shared" si="18"/>
        <v>0</v>
      </c>
      <c r="N76" s="456"/>
      <c r="O76" s="457"/>
      <c r="P76" s="457"/>
      <c r="Q76" s="457"/>
      <c r="R76" s="462"/>
      <c r="S76" s="53">
        <v>2</v>
      </c>
      <c r="T76" s="7" t="s">
        <v>46</v>
      </c>
      <c r="U76" s="7" t="s">
        <v>47</v>
      </c>
      <c r="V76" s="7" t="s">
        <v>42</v>
      </c>
      <c r="W76" s="52">
        <v>2.5</v>
      </c>
      <c r="X76" s="3">
        <v>4</v>
      </c>
      <c r="Z76" s="53"/>
      <c r="AA76" s="7"/>
      <c r="AB76" s="7"/>
      <c r="AC76" s="7"/>
      <c r="AD76" s="52"/>
      <c r="AE76" s="3">
        <v>4</v>
      </c>
      <c r="AG76" s="53"/>
      <c r="AH76" s="7"/>
      <c r="AI76" s="7"/>
      <c r="AJ76" s="7"/>
      <c r="AK76" s="52"/>
      <c r="AL76" s="3">
        <v>4</v>
      </c>
      <c r="AN76" s="53"/>
      <c r="AO76" s="7"/>
      <c r="AP76" s="7"/>
      <c r="AQ76" s="7"/>
      <c r="AR76" s="52"/>
      <c r="AS76" s="62">
        <v>4</v>
      </c>
      <c r="AU76" s="53"/>
      <c r="AV76" s="7"/>
      <c r="AW76" s="7"/>
      <c r="AX76" s="7"/>
      <c r="AY76" s="52"/>
      <c r="AZ76" s="62">
        <v>0</v>
      </c>
    </row>
    <row r="77" spans="1:52" x14ac:dyDescent="0.4">
      <c r="A77" s="12">
        <f t="shared" si="19"/>
        <v>15</v>
      </c>
      <c r="B77" s="77">
        <f t="shared" si="13"/>
        <v>0</v>
      </c>
      <c r="C77" s="41">
        <f t="shared" si="20"/>
        <v>0</v>
      </c>
      <c r="D77" s="41">
        <f>D75</f>
        <v>0</v>
      </c>
      <c r="E77" s="41">
        <f>IF(AND(S77&lt;ηAC値Z,ηAC値Z&lt;=W77),1,0)</f>
        <v>0</v>
      </c>
      <c r="F77" s="157">
        <f t="shared" si="14"/>
        <v>0</v>
      </c>
      <c r="G77" s="158">
        <f t="shared" si="15"/>
        <v>0</v>
      </c>
      <c r="H77" s="158">
        <f t="shared" si="16"/>
        <v>0</v>
      </c>
      <c r="I77" s="158">
        <f t="shared" si="17"/>
        <v>0</v>
      </c>
      <c r="J77" s="159">
        <f t="shared" si="18"/>
        <v>0</v>
      </c>
      <c r="N77" s="456"/>
      <c r="O77" s="457"/>
      <c r="P77" s="457"/>
      <c r="Q77" s="457"/>
      <c r="R77" s="462"/>
      <c r="S77" s="53">
        <v>2.5</v>
      </c>
      <c r="T77" s="7" t="s">
        <v>46</v>
      </c>
      <c r="U77" s="7" t="s">
        <v>47</v>
      </c>
      <c r="V77" s="7" t="s">
        <v>42</v>
      </c>
      <c r="W77" s="52">
        <v>3</v>
      </c>
      <c r="X77" s="3">
        <v>4</v>
      </c>
      <c r="Z77" s="53"/>
      <c r="AA77" s="7"/>
      <c r="AB77" s="7"/>
      <c r="AC77" s="7"/>
      <c r="AD77" s="52"/>
      <c r="AE77" s="3">
        <v>4</v>
      </c>
      <c r="AG77" s="53"/>
      <c r="AH77" s="7"/>
      <c r="AI77" s="7"/>
      <c r="AJ77" s="7"/>
      <c r="AK77" s="52"/>
      <c r="AL77" s="3">
        <v>4</v>
      </c>
      <c r="AN77" s="53"/>
      <c r="AO77" s="7"/>
      <c r="AP77" s="7"/>
      <c r="AQ77" s="7"/>
      <c r="AR77" s="52"/>
      <c r="AS77" s="62">
        <v>4</v>
      </c>
      <c r="AU77" s="53"/>
      <c r="AV77" s="7"/>
      <c r="AW77" s="7"/>
      <c r="AX77" s="7"/>
      <c r="AY77" s="52"/>
      <c r="AZ77" s="62">
        <v>0</v>
      </c>
    </row>
    <row r="78" spans="1:52" x14ac:dyDescent="0.4">
      <c r="A78" s="12">
        <f t="shared" si="19"/>
        <v>16</v>
      </c>
      <c r="B78" s="77">
        <f t="shared" si="13"/>
        <v>0</v>
      </c>
      <c r="C78" s="41">
        <f t="shared" si="20"/>
        <v>0</v>
      </c>
      <c r="D78" s="41">
        <f>D75</f>
        <v>0</v>
      </c>
      <c r="E78" s="41">
        <f>IF(AND(S78&lt;ηAC値Z,ηAC値Z&lt;=W78),1,0)</f>
        <v>0</v>
      </c>
      <c r="F78" s="157">
        <f t="shared" si="14"/>
        <v>0</v>
      </c>
      <c r="G78" s="158">
        <f t="shared" si="15"/>
        <v>0</v>
      </c>
      <c r="H78" s="158">
        <f t="shared" si="16"/>
        <v>0</v>
      </c>
      <c r="I78" s="158">
        <f t="shared" si="17"/>
        <v>0</v>
      </c>
      <c r="J78" s="159">
        <f t="shared" si="18"/>
        <v>0</v>
      </c>
      <c r="N78" s="456"/>
      <c r="O78" s="457"/>
      <c r="P78" s="457"/>
      <c r="Q78" s="457"/>
      <c r="R78" s="462"/>
      <c r="S78" s="53">
        <v>3</v>
      </c>
      <c r="T78" s="7" t="s">
        <v>46</v>
      </c>
      <c r="U78" s="7" t="s">
        <v>47</v>
      </c>
      <c r="V78" s="7" t="s">
        <v>42</v>
      </c>
      <c r="W78" s="52">
        <v>3.5</v>
      </c>
      <c r="X78" s="3">
        <v>4</v>
      </c>
      <c r="Z78" s="53"/>
      <c r="AA78" s="7"/>
      <c r="AB78" s="7"/>
      <c r="AC78" s="7"/>
      <c r="AD78" s="52"/>
      <c r="AE78" s="3">
        <v>5</v>
      </c>
      <c r="AG78" s="53"/>
      <c r="AH78" s="7"/>
      <c r="AI78" s="7"/>
      <c r="AJ78" s="7"/>
      <c r="AK78" s="52"/>
      <c r="AL78" s="3">
        <v>5</v>
      </c>
      <c r="AN78" s="53"/>
      <c r="AO78" s="7"/>
      <c r="AP78" s="7"/>
      <c r="AQ78" s="7"/>
      <c r="AR78" s="52"/>
      <c r="AS78" s="62">
        <v>5</v>
      </c>
      <c r="AU78" s="53"/>
      <c r="AV78" s="7"/>
      <c r="AW78" s="7"/>
      <c r="AX78" s="7"/>
      <c r="AY78" s="52"/>
      <c r="AZ78" s="62">
        <v>0</v>
      </c>
    </row>
    <row r="79" spans="1:52" x14ac:dyDescent="0.4">
      <c r="A79" s="12">
        <f t="shared" si="19"/>
        <v>17</v>
      </c>
      <c r="B79" s="77">
        <f t="shared" si="13"/>
        <v>0</v>
      </c>
      <c r="C79" s="41">
        <f t="shared" si="20"/>
        <v>0</v>
      </c>
      <c r="D79" s="41">
        <f>D75</f>
        <v>0</v>
      </c>
      <c r="E79" s="41">
        <f>IF(AND(S79&lt;ηAC値Z,ηAC値Z&lt;=W79),1,0)</f>
        <v>0</v>
      </c>
      <c r="F79" s="157">
        <f t="shared" si="14"/>
        <v>0</v>
      </c>
      <c r="G79" s="158">
        <f t="shared" si="15"/>
        <v>0</v>
      </c>
      <c r="H79" s="158">
        <f t="shared" si="16"/>
        <v>0</v>
      </c>
      <c r="I79" s="158">
        <f t="shared" si="17"/>
        <v>0</v>
      </c>
      <c r="J79" s="159">
        <f t="shared" si="18"/>
        <v>0</v>
      </c>
      <c r="N79" s="456"/>
      <c r="O79" s="457"/>
      <c r="P79" s="457"/>
      <c r="Q79" s="457"/>
      <c r="R79" s="462"/>
      <c r="S79" s="53">
        <v>3.5</v>
      </c>
      <c r="T79" s="7" t="s">
        <v>46</v>
      </c>
      <c r="U79" s="7" t="s">
        <v>47</v>
      </c>
      <c r="V79" s="7" t="s">
        <v>42</v>
      </c>
      <c r="W79" s="52">
        <v>4</v>
      </c>
      <c r="X79" s="3">
        <v>5</v>
      </c>
      <c r="Z79" s="53"/>
      <c r="AA79" s="7"/>
      <c r="AB79" s="7"/>
      <c r="AC79" s="7"/>
      <c r="AD79" s="52"/>
      <c r="AE79" s="3">
        <v>5</v>
      </c>
      <c r="AG79" s="53"/>
      <c r="AH79" s="7"/>
      <c r="AI79" s="7"/>
      <c r="AJ79" s="7"/>
      <c r="AK79" s="52"/>
      <c r="AL79" s="3">
        <v>5</v>
      </c>
      <c r="AN79" s="53"/>
      <c r="AO79" s="7"/>
      <c r="AP79" s="7"/>
      <c r="AQ79" s="7"/>
      <c r="AR79" s="52"/>
      <c r="AS79" s="62">
        <v>5</v>
      </c>
      <c r="AU79" s="53"/>
      <c r="AV79" s="7"/>
      <c r="AW79" s="7"/>
      <c r="AX79" s="7"/>
      <c r="AY79" s="52"/>
      <c r="AZ79" s="62">
        <v>0</v>
      </c>
    </row>
    <row r="80" spans="1:52" ht="19.5" thickBot="1" x14ac:dyDescent="0.45">
      <c r="A80" s="12">
        <f t="shared" si="19"/>
        <v>18</v>
      </c>
      <c r="B80" s="77">
        <f t="shared" si="13"/>
        <v>0</v>
      </c>
      <c r="C80" s="41">
        <f t="shared" si="20"/>
        <v>0</v>
      </c>
      <c r="D80" s="42">
        <f>D75</f>
        <v>0</v>
      </c>
      <c r="E80" s="41">
        <f>IF(AND(S80&lt;ηAC値Z,ηAC値Z&lt;=W80),1,0)</f>
        <v>0</v>
      </c>
      <c r="F80" s="160">
        <f t="shared" si="14"/>
        <v>0</v>
      </c>
      <c r="G80" s="161">
        <f t="shared" si="15"/>
        <v>0</v>
      </c>
      <c r="H80" s="161">
        <f t="shared" si="16"/>
        <v>0</v>
      </c>
      <c r="I80" s="161">
        <f t="shared" si="17"/>
        <v>0</v>
      </c>
      <c r="J80" s="162">
        <f t="shared" si="18"/>
        <v>0</v>
      </c>
      <c r="N80" s="463"/>
      <c r="O80" s="464"/>
      <c r="P80" s="464"/>
      <c r="Q80" s="464"/>
      <c r="R80" s="466"/>
      <c r="S80" s="63">
        <v>4</v>
      </c>
      <c r="T80" s="48" t="s">
        <v>46</v>
      </c>
      <c r="U80" s="48" t="s">
        <v>47</v>
      </c>
      <c r="V80" s="48" t="s">
        <v>42</v>
      </c>
      <c r="W80" s="64">
        <v>4.5</v>
      </c>
      <c r="X80" s="65">
        <v>5</v>
      </c>
      <c r="Y80" s="46"/>
      <c r="Z80" s="63"/>
      <c r="AA80" s="48"/>
      <c r="AB80" s="48"/>
      <c r="AC80" s="48"/>
      <c r="AD80" s="64"/>
      <c r="AE80" s="65">
        <v>6</v>
      </c>
      <c r="AF80" s="46"/>
      <c r="AG80" s="63"/>
      <c r="AH80" s="48"/>
      <c r="AI80" s="48"/>
      <c r="AJ80" s="48"/>
      <c r="AK80" s="64"/>
      <c r="AL80" s="65">
        <v>6</v>
      </c>
      <c r="AM80" s="46"/>
      <c r="AN80" s="63"/>
      <c r="AO80" s="48"/>
      <c r="AP80" s="48"/>
      <c r="AQ80" s="48"/>
      <c r="AR80" s="64"/>
      <c r="AS80" s="66">
        <v>6</v>
      </c>
      <c r="AU80" s="63"/>
      <c r="AV80" s="48"/>
      <c r="AW80" s="48"/>
      <c r="AX80" s="48"/>
      <c r="AY80" s="64"/>
      <c r="AZ80" s="66">
        <v>0</v>
      </c>
    </row>
    <row r="81" spans="1:52" x14ac:dyDescent="0.4">
      <c r="A81" s="12">
        <f t="shared" si="19"/>
        <v>19</v>
      </c>
      <c r="B81" s="77">
        <f t="shared" si="13"/>
        <v>0</v>
      </c>
      <c r="C81" s="41">
        <f t="shared" si="20"/>
        <v>0</v>
      </c>
      <c r="D81" s="40">
        <f>IF(AND(N81&lt;=UA値z,UA値z&lt;R81),1,0)</f>
        <v>0</v>
      </c>
      <c r="E81" s="40">
        <f>IF(ηAC値Z&lt;=W81,1,0)</f>
        <v>0</v>
      </c>
      <c r="F81" s="157">
        <f t="shared" si="14"/>
        <v>0</v>
      </c>
      <c r="G81" s="158">
        <f t="shared" si="15"/>
        <v>0</v>
      </c>
      <c r="H81" s="158">
        <f t="shared" si="16"/>
        <v>0</v>
      </c>
      <c r="I81" s="158">
        <f t="shared" si="17"/>
        <v>0</v>
      </c>
      <c r="J81" s="159">
        <f t="shared" si="18"/>
        <v>0</v>
      </c>
      <c r="N81" s="456">
        <v>0.87</v>
      </c>
      <c r="O81" s="457" t="s">
        <v>42</v>
      </c>
      <c r="P81" s="457" t="s">
        <v>45</v>
      </c>
      <c r="Q81" s="457" t="s">
        <v>46</v>
      </c>
      <c r="R81" s="462">
        <v>1.1000000000000001</v>
      </c>
      <c r="S81" s="13"/>
      <c r="T81" s="2"/>
      <c r="U81" s="2" t="s">
        <v>47</v>
      </c>
      <c r="V81" s="2" t="s">
        <v>42</v>
      </c>
      <c r="W81" s="54">
        <v>2</v>
      </c>
      <c r="X81" s="42">
        <v>3</v>
      </c>
      <c r="Z81" s="13"/>
      <c r="AA81" s="2"/>
      <c r="AB81" s="2"/>
      <c r="AC81" s="2"/>
      <c r="AD81" s="54"/>
      <c r="AE81" s="42">
        <v>3</v>
      </c>
      <c r="AG81" s="13"/>
      <c r="AH81" s="2"/>
      <c r="AI81" s="2"/>
      <c r="AJ81" s="2"/>
      <c r="AK81" s="54"/>
      <c r="AL81" s="42">
        <v>3</v>
      </c>
      <c r="AN81" s="13"/>
      <c r="AO81" s="2"/>
      <c r="AP81" s="2"/>
      <c r="AQ81" s="2"/>
      <c r="AR81" s="54"/>
      <c r="AS81" s="74">
        <v>3</v>
      </c>
      <c r="AU81" s="13"/>
      <c r="AV81" s="2"/>
      <c r="AW81" s="2"/>
      <c r="AX81" s="2"/>
      <c r="AY81" s="54"/>
      <c r="AZ81" s="74">
        <v>0</v>
      </c>
    </row>
    <row r="82" spans="1:52" x14ac:dyDescent="0.4">
      <c r="A82" s="12">
        <f t="shared" si="19"/>
        <v>20</v>
      </c>
      <c r="B82" s="77">
        <f t="shared" si="13"/>
        <v>0</v>
      </c>
      <c r="C82" s="41">
        <f t="shared" si="20"/>
        <v>0</v>
      </c>
      <c r="D82" s="41">
        <f>D81</f>
        <v>0</v>
      </c>
      <c r="E82" s="41">
        <f>IF(AND(S82&lt;ηAC値Z,ηAC値Z&lt;=W82),1,0)</f>
        <v>1</v>
      </c>
      <c r="F82" s="157">
        <f t="shared" si="14"/>
        <v>3</v>
      </c>
      <c r="G82" s="158">
        <f t="shared" si="15"/>
        <v>4</v>
      </c>
      <c r="H82" s="158">
        <f t="shared" si="16"/>
        <v>4</v>
      </c>
      <c r="I82" s="158">
        <f t="shared" si="17"/>
        <v>4</v>
      </c>
      <c r="J82" s="159">
        <f t="shared" si="18"/>
        <v>0</v>
      </c>
      <c r="N82" s="456"/>
      <c r="O82" s="457"/>
      <c r="P82" s="457"/>
      <c r="Q82" s="457"/>
      <c r="R82" s="462"/>
      <c r="S82" s="53">
        <v>2</v>
      </c>
      <c r="T82" s="7" t="s">
        <v>46</v>
      </c>
      <c r="U82" s="7" t="s">
        <v>47</v>
      </c>
      <c r="V82" s="7" t="s">
        <v>42</v>
      </c>
      <c r="W82" s="52">
        <v>2.5</v>
      </c>
      <c r="X82" s="3">
        <v>3</v>
      </c>
      <c r="Z82" s="53"/>
      <c r="AA82" s="7"/>
      <c r="AB82" s="7"/>
      <c r="AC82" s="7"/>
      <c r="AD82" s="52"/>
      <c r="AE82" s="3">
        <v>4</v>
      </c>
      <c r="AG82" s="53"/>
      <c r="AH82" s="7"/>
      <c r="AI82" s="7"/>
      <c r="AJ82" s="7"/>
      <c r="AK82" s="52"/>
      <c r="AL82" s="3">
        <v>4</v>
      </c>
      <c r="AN82" s="53"/>
      <c r="AO82" s="7"/>
      <c r="AP82" s="7"/>
      <c r="AQ82" s="7"/>
      <c r="AR82" s="52"/>
      <c r="AS82" s="62">
        <v>4</v>
      </c>
      <c r="AU82" s="53"/>
      <c r="AV82" s="7"/>
      <c r="AW82" s="7"/>
      <c r="AX82" s="7"/>
      <c r="AY82" s="52"/>
      <c r="AZ82" s="62">
        <v>0</v>
      </c>
    </row>
    <row r="83" spans="1:52" x14ac:dyDescent="0.4">
      <c r="A83" s="12">
        <f t="shared" si="19"/>
        <v>21</v>
      </c>
      <c r="B83" s="77">
        <f t="shared" si="13"/>
        <v>0</v>
      </c>
      <c r="C83" s="41">
        <f t="shared" si="20"/>
        <v>0</v>
      </c>
      <c r="D83" s="41">
        <f>D81</f>
        <v>0</v>
      </c>
      <c r="E83" s="41">
        <f>IF(AND(S83&lt;ηAC値Z,ηAC値Z&lt;=W83),1,0)</f>
        <v>0</v>
      </c>
      <c r="F83" s="157">
        <f t="shared" si="14"/>
        <v>0</v>
      </c>
      <c r="G83" s="158">
        <f t="shared" si="15"/>
        <v>0</v>
      </c>
      <c r="H83" s="158">
        <f t="shared" si="16"/>
        <v>0</v>
      </c>
      <c r="I83" s="158">
        <f t="shared" si="17"/>
        <v>0</v>
      </c>
      <c r="J83" s="159">
        <f t="shared" si="18"/>
        <v>0</v>
      </c>
      <c r="N83" s="456"/>
      <c r="O83" s="457"/>
      <c r="P83" s="457"/>
      <c r="Q83" s="457"/>
      <c r="R83" s="462"/>
      <c r="S83" s="53">
        <v>2.5</v>
      </c>
      <c r="T83" s="7" t="s">
        <v>46</v>
      </c>
      <c r="U83" s="7" t="s">
        <v>47</v>
      </c>
      <c r="V83" s="7" t="s">
        <v>42</v>
      </c>
      <c r="W83" s="52">
        <v>3</v>
      </c>
      <c r="X83" s="3">
        <v>4</v>
      </c>
      <c r="Z83" s="53"/>
      <c r="AA83" s="7"/>
      <c r="AB83" s="7"/>
      <c r="AC83" s="7"/>
      <c r="AD83" s="52"/>
      <c r="AE83" s="3">
        <v>4</v>
      </c>
      <c r="AG83" s="53"/>
      <c r="AH83" s="7"/>
      <c r="AI83" s="7"/>
      <c r="AJ83" s="7"/>
      <c r="AK83" s="52"/>
      <c r="AL83" s="3">
        <v>4</v>
      </c>
      <c r="AN83" s="53"/>
      <c r="AO83" s="7"/>
      <c r="AP83" s="7"/>
      <c r="AQ83" s="7"/>
      <c r="AR83" s="52"/>
      <c r="AS83" s="62">
        <v>4</v>
      </c>
      <c r="AU83" s="53"/>
      <c r="AV83" s="7"/>
      <c r="AW83" s="7"/>
      <c r="AX83" s="7"/>
      <c r="AY83" s="52"/>
      <c r="AZ83" s="62">
        <v>0</v>
      </c>
    </row>
    <row r="84" spans="1:52" x14ac:dyDescent="0.4">
      <c r="A84" s="12">
        <f t="shared" si="19"/>
        <v>22</v>
      </c>
      <c r="B84" s="77">
        <f t="shared" si="13"/>
        <v>0</v>
      </c>
      <c r="C84" s="41">
        <f t="shared" si="20"/>
        <v>0</v>
      </c>
      <c r="D84" s="41">
        <f>D81</f>
        <v>0</v>
      </c>
      <c r="E84" s="41">
        <f>IF(AND(S84&lt;ηAC値Z,ηAC値Z&lt;=W84),1,0)</f>
        <v>0</v>
      </c>
      <c r="F84" s="157">
        <f t="shared" si="14"/>
        <v>0</v>
      </c>
      <c r="G84" s="158">
        <f t="shared" si="15"/>
        <v>0</v>
      </c>
      <c r="H84" s="158">
        <f t="shared" si="16"/>
        <v>0</v>
      </c>
      <c r="I84" s="158">
        <f t="shared" si="17"/>
        <v>0</v>
      </c>
      <c r="J84" s="159">
        <f t="shared" si="18"/>
        <v>0</v>
      </c>
      <c r="N84" s="456"/>
      <c r="O84" s="457"/>
      <c r="P84" s="457"/>
      <c r="Q84" s="457"/>
      <c r="R84" s="462"/>
      <c r="S84" s="53">
        <v>3</v>
      </c>
      <c r="T84" s="7" t="s">
        <v>46</v>
      </c>
      <c r="U84" s="7" t="s">
        <v>47</v>
      </c>
      <c r="V84" s="7" t="s">
        <v>42</v>
      </c>
      <c r="W84" s="52">
        <v>3.5</v>
      </c>
      <c r="X84" s="3">
        <v>4</v>
      </c>
      <c r="Z84" s="53"/>
      <c r="AA84" s="7"/>
      <c r="AB84" s="7"/>
      <c r="AC84" s="7"/>
      <c r="AD84" s="52"/>
      <c r="AE84" s="3">
        <v>4</v>
      </c>
      <c r="AG84" s="53"/>
      <c r="AH84" s="7"/>
      <c r="AI84" s="7"/>
      <c r="AJ84" s="7"/>
      <c r="AK84" s="52"/>
      <c r="AL84" s="3">
        <v>4</v>
      </c>
      <c r="AN84" s="53"/>
      <c r="AO84" s="7"/>
      <c r="AP84" s="7"/>
      <c r="AQ84" s="7"/>
      <c r="AR84" s="52"/>
      <c r="AS84" s="62">
        <v>4</v>
      </c>
      <c r="AU84" s="53"/>
      <c r="AV84" s="7"/>
      <c r="AW84" s="7"/>
      <c r="AX84" s="7"/>
      <c r="AY84" s="52"/>
      <c r="AZ84" s="62">
        <v>0</v>
      </c>
    </row>
    <row r="85" spans="1:52" x14ac:dyDescent="0.4">
      <c r="A85" s="12">
        <f t="shared" si="19"/>
        <v>23</v>
      </c>
      <c r="B85" s="77">
        <f t="shared" si="13"/>
        <v>0</v>
      </c>
      <c r="C85" s="41">
        <f t="shared" si="20"/>
        <v>0</v>
      </c>
      <c r="D85" s="41">
        <f>D81</f>
        <v>0</v>
      </c>
      <c r="E85" s="41">
        <f>IF(AND(S85&lt;ηAC値Z,ηAC値Z&lt;=W85),1,0)</f>
        <v>0</v>
      </c>
      <c r="F85" s="157">
        <f t="shared" si="14"/>
        <v>0</v>
      </c>
      <c r="G85" s="158">
        <f t="shared" si="15"/>
        <v>0</v>
      </c>
      <c r="H85" s="158">
        <f t="shared" si="16"/>
        <v>0</v>
      </c>
      <c r="I85" s="158">
        <f t="shared" si="17"/>
        <v>0</v>
      </c>
      <c r="J85" s="159">
        <f t="shared" si="18"/>
        <v>0</v>
      </c>
      <c r="N85" s="456"/>
      <c r="O85" s="457"/>
      <c r="P85" s="457"/>
      <c r="Q85" s="457"/>
      <c r="R85" s="462"/>
      <c r="S85" s="53">
        <v>3.5</v>
      </c>
      <c r="T85" s="7" t="s">
        <v>46</v>
      </c>
      <c r="U85" s="7" t="s">
        <v>47</v>
      </c>
      <c r="V85" s="7" t="s">
        <v>42</v>
      </c>
      <c r="W85" s="52">
        <v>4</v>
      </c>
      <c r="X85" s="3">
        <v>5</v>
      </c>
      <c r="Z85" s="53"/>
      <c r="AA85" s="7"/>
      <c r="AB85" s="7"/>
      <c r="AC85" s="7"/>
      <c r="AD85" s="52"/>
      <c r="AE85" s="3">
        <v>5</v>
      </c>
      <c r="AG85" s="53"/>
      <c r="AH85" s="7"/>
      <c r="AI85" s="7"/>
      <c r="AJ85" s="7"/>
      <c r="AK85" s="52"/>
      <c r="AL85" s="3">
        <v>5</v>
      </c>
      <c r="AN85" s="53"/>
      <c r="AO85" s="7"/>
      <c r="AP85" s="7"/>
      <c r="AQ85" s="7"/>
      <c r="AR85" s="52"/>
      <c r="AS85" s="62">
        <v>5</v>
      </c>
      <c r="AU85" s="53"/>
      <c r="AV85" s="7"/>
      <c r="AW85" s="7"/>
      <c r="AX85" s="7"/>
      <c r="AY85" s="52"/>
      <c r="AZ85" s="62">
        <v>0</v>
      </c>
    </row>
    <row r="86" spans="1:52" ht="19.5" thickBot="1" x14ac:dyDescent="0.45">
      <c r="A86" s="12">
        <f t="shared" si="19"/>
        <v>24</v>
      </c>
      <c r="B86" s="77">
        <f t="shared" si="13"/>
        <v>0</v>
      </c>
      <c r="C86" s="41">
        <f t="shared" si="20"/>
        <v>0</v>
      </c>
      <c r="D86" s="41">
        <f>D81</f>
        <v>0</v>
      </c>
      <c r="E86" s="41">
        <f>IF(AND(S86&lt;ηAC値Z,ηAC値Z&lt;=W86),1,0)</f>
        <v>0</v>
      </c>
      <c r="F86" s="157">
        <f t="shared" si="14"/>
        <v>0</v>
      </c>
      <c r="G86" s="158">
        <f t="shared" si="15"/>
        <v>0</v>
      </c>
      <c r="H86" s="158">
        <f t="shared" si="16"/>
        <v>0</v>
      </c>
      <c r="I86" s="158">
        <f t="shared" si="17"/>
        <v>0</v>
      </c>
      <c r="J86" s="159">
        <f t="shared" si="18"/>
        <v>0</v>
      </c>
      <c r="N86" s="456"/>
      <c r="O86" s="457"/>
      <c r="P86" s="457"/>
      <c r="Q86" s="457"/>
      <c r="R86" s="462"/>
      <c r="S86" s="71">
        <v>4</v>
      </c>
      <c r="T86" s="39" t="s">
        <v>46</v>
      </c>
      <c r="U86" s="39" t="s">
        <v>47</v>
      </c>
      <c r="V86" s="39" t="s">
        <v>42</v>
      </c>
      <c r="W86" s="72">
        <v>4.5</v>
      </c>
      <c r="X86" s="40">
        <v>5</v>
      </c>
      <c r="Z86" s="71"/>
      <c r="AA86" s="39"/>
      <c r="AB86" s="39"/>
      <c r="AC86" s="39"/>
      <c r="AD86" s="72"/>
      <c r="AE86" s="40">
        <v>5</v>
      </c>
      <c r="AG86" s="71"/>
      <c r="AH86" s="39"/>
      <c r="AI86" s="39"/>
      <c r="AJ86" s="39"/>
      <c r="AK86" s="72"/>
      <c r="AL86" s="40">
        <v>5</v>
      </c>
      <c r="AN86" s="71"/>
      <c r="AO86" s="39"/>
      <c r="AP86" s="39"/>
      <c r="AQ86" s="39"/>
      <c r="AR86" s="72"/>
      <c r="AS86" s="73">
        <v>5</v>
      </c>
      <c r="AU86" s="71"/>
      <c r="AV86" s="39"/>
      <c r="AW86" s="39"/>
      <c r="AX86" s="39"/>
      <c r="AY86" s="72"/>
      <c r="AZ86" s="73">
        <v>0</v>
      </c>
    </row>
    <row r="87" spans="1:52" x14ac:dyDescent="0.4">
      <c r="A87" s="12">
        <f t="shared" si="19"/>
        <v>25</v>
      </c>
      <c r="B87" s="77">
        <f t="shared" si="13"/>
        <v>0</v>
      </c>
      <c r="C87" s="41">
        <f t="shared" si="20"/>
        <v>0</v>
      </c>
      <c r="D87" s="40">
        <f>IF(AND(N87&lt;=UA値z,UA値z&lt;R87),1,0)</f>
        <v>0</v>
      </c>
      <c r="E87" s="40">
        <f>IF(ηAC値Z&lt;=W87,1,0)</f>
        <v>0</v>
      </c>
      <c r="F87" s="154">
        <f t="shared" si="14"/>
        <v>0</v>
      </c>
      <c r="G87" s="155">
        <f t="shared" si="15"/>
        <v>0</v>
      </c>
      <c r="H87" s="155">
        <f t="shared" si="16"/>
        <v>0</v>
      </c>
      <c r="I87" s="155">
        <f t="shared" si="17"/>
        <v>0</v>
      </c>
      <c r="J87" s="156">
        <f t="shared" si="18"/>
        <v>0</v>
      </c>
      <c r="N87" s="458">
        <v>1.1000000000000001</v>
      </c>
      <c r="O87" s="459" t="s">
        <v>42</v>
      </c>
      <c r="P87" s="459" t="s">
        <v>45</v>
      </c>
      <c r="Q87" s="459" t="s">
        <v>46</v>
      </c>
      <c r="R87" s="465">
        <v>1.32</v>
      </c>
      <c r="S87" s="70"/>
      <c r="T87" s="47"/>
      <c r="U87" s="47" t="s">
        <v>47</v>
      </c>
      <c r="V87" s="47" t="s">
        <v>42</v>
      </c>
      <c r="W87" s="58">
        <v>2</v>
      </c>
      <c r="X87" s="59">
        <v>3</v>
      </c>
      <c r="Y87" s="60"/>
      <c r="Z87" s="70"/>
      <c r="AA87" s="47"/>
      <c r="AB87" s="47"/>
      <c r="AC87" s="47"/>
      <c r="AD87" s="58"/>
      <c r="AE87" s="59">
        <v>3</v>
      </c>
      <c r="AF87" s="60"/>
      <c r="AG87" s="70"/>
      <c r="AH87" s="47"/>
      <c r="AI87" s="47"/>
      <c r="AJ87" s="47"/>
      <c r="AK87" s="58"/>
      <c r="AL87" s="59">
        <v>3</v>
      </c>
      <c r="AM87" s="60"/>
      <c r="AN87" s="70"/>
      <c r="AO87" s="47"/>
      <c r="AP87" s="47"/>
      <c r="AQ87" s="47"/>
      <c r="AR87" s="58"/>
      <c r="AS87" s="61">
        <v>3</v>
      </c>
      <c r="AU87" s="70"/>
      <c r="AV87" s="47"/>
      <c r="AW87" s="47"/>
      <c r="AX87" s="47"/>
      <c r="AY87" s="58"/>
      <c r="AZ87" s="61">
        <v>0</v>
      </c>
    </row>
    <row r="88" spans="1:52" x14ac:dyDescent="0.4">
      <c r="A88" s="12">
        <f t="shared" si="19"/>
        <v>26</v>
      </c>
      <c r="B88" s="77">
        <f t="shared" si="13"/>
        <v>0</v>
      </c>
      <c r="C88" s="41">
        <f t="shared" si="20"/>
        <v>0</v>
      </c>
      <c r="D88" s="41">
        <f>D87</f>
        <v>0</v>
      </c>
      <c r="E88" s="41">
        <f>IF(AND(S88&lt;ηAC値Z,ηAC値Z&lt;=W88),1,0)</f>
        <v>1</v>
      </c>
      <c r="F88" s="157">
        <f t="shared" si="14"/>
        <v>3</v>
      </c>
      <c r="G88" s="158">
        <f t="shared" si="15"/>
        <v>3</v>
      </c>
      <c r="H88" s="158">
        <f t="shared" si="16"/>
        <v>3</v>
      </c>
      <c r="I88" s="158">
        <f t="shared" si="17"/>
        <v>3</v>
      </c>
      <c r="J88" s="159">
        <f t="shared" si="18"/>
        <v>0</v>
      </c>
      <c r="N88" s="456"/>
      <c r="O88" s="457"/>
      <c r="P88" s="457"/>
      <c r="Q88" s="457"/>
      <c r="R88" s="462"/>
      <c r="S88" s="53">
        <v>2</v>
      </c>
      <c r="T88" s="7" t="s">
        <v>46</v>
      </c>
      <c r="U88" s="7" t="s">
        <v>47</v>
      </c>
      <c r="V88" s="7" t="s">
        <v>42</v>
      </c>
      <c r="W88" s="52">
        <v>2.5</v>
      </c>
      <c r="X88" s="3">
        <v>3</v>
      </c>
      <c r="Z88" s="53"/>
      <c r="AA88" s="7"/>
      <c r="AB88" s="7"/>
      <c r="AC88" s="7"/>
      <c r="AD88" s="52"/>
      <c r="AE88" s="3">
        <v>3</v>
      </c>
      <c r="AG88" s="53"/>
      <c r="AH88" s="7"/>
      <c r="AI88" s="7"/>
      <c r="AJ88" s="7"/>
      <c r="AK88" s="52"/>
      <c r="AL88" s="3">
        <v>3</v>
      </c>
      <c r="AN88" s="53"/>
      <c r="AO88" s="7"/>
      <c r="AP88" s="7"/>
      <c r="AQ88" s="7"/>
      <c r="AR88" s="52"/>
      <c r="AS88" s="62">
        <v>3</v>
      </c>
      <c r="AU88" s="53"/>
      <c r="AV88" s="7"/>
      <c r="AW88" s="7"/>
      <c r="AX88" s="7"/>
      <c r="AY88" s="52"/>
      <c r="AZ88" s="62">
        <v>0</v>
      </c>
    </row>
    <row r="89" spans="1:52" x14ac:dyDescent="0.4">
      <c r="A89" s="12">
        <f t="shared" si="19"/>
        <v>27</v>
      </c>
      <c r="B89" s="77">
        <f t="shared" si="13"/>
        <v>0</v>
      </c>
      <c r="C89" s="41">
        <f t="shared" si="20"/>
        <v>0</v>
      </c>
      <c r="D89" s="41">
        <f>D87</f>
        <v>0</v>
      </c>
      <c r="E89" s="41">
        <f>IF(AND(S89&lt;ηAC値Z,ηAC値Z&lt;=W89),1,0)</f>
        <v>0</v>
      </c>
      <c r="F89" s="157">
        <f t="shared" si="14"/>
        <v>0</v>
      </c>
      <c r="G89" s="158">
        <f t="shared" si="15"/>
        <v>0</v>
      </c>
      <c r="H89" s="158">
        <f t="shared" si="16"/>
        <v>0</v>
      </c>
      <c r="I89" s="158">
        <f t="shared" si="17"/>
        <v>0</v>
      </c>
      <c r="J89" s="159">
        <f t="shared" si="18"/>
        <v>0</v>
      </c>
      <c r="N89" s="456"/>
      <c r="O89" s="457"/>
      <c r="P89" s="457"/>
      <c r="Q89" s="457"/>
      <c r="R89" s="462"/>
      <c r="S89" s="53">
        <v>2.5</v>
      </c>
      <c r="T89" s="7" t="s">
        <v>46</v>
      </c>
      <c r="U89" s="7" t="s">
        <v>47</v>
      </c>
      <c r="V89" s="7" t="s">
        <v>42</v>
      </c>
      <c r="W89" s="52">
        <v>3</v>
      </c>
      <c r="X89" s="3">
        <v>3</v>
      </c>
      <c r="Z89" s="53"/>
      <c r="AA89" s="7"/>
      <c r="AB89" s="7"/>
      <c r="AC89" s="7"/>
      <c r="AD89" s="52"/>
      <c r="AE89" s="3">
        <v>4</v>
      </c>
      <c r="AG89" s="53"/>
      <c r="AH89" s="7"/>
      <c r="AI89" s="7"/>
      <c r="AJ89" s="7"/>
      <c r="AK89" s="52"/>
      <c r="AL89" s="3">
        <v>4</v>
      </c>
      <c r="AN89" s="53"/>
      <c r="AO89" s="7"/>
      <c r="AP89" s="7"/>
      <c r="AQ89" s="7"/>
      <c r="AR89" s="52"/>
      <c r="AS89" s="62">
        <v>4</v>
      </c>
      <c r="AU89" s="53"/>
      <c r="AV89" s="7"/>
      <c r="AW89" s="7"/>
      <c r="AX89" s="7"/>
      <c r="AY89" s="52"/>
      <c r="AZ89" s="62">
        <v>0</v>
      </c>
    </row>
    <row r="90" spans="1:52" x14ac:dyDescent="0.4">
      <c r="A90" s="12">
        <f t="shared" si="19"/>
        <v>28</v>
      </c>
      <c r="B90" s="77">
        <f t="shared" si="13"/>
        <v>0</v>
      </c>
      <c r="C90" s="41">
        <f t="shared" si="20"/>
        <v>0</v>
      </c>
      <c r="D90" s="41">
        <f>D87</f>
        <v>0</v>
      </c>
      <c r="E90" s="41">
        <f>IF(AND(S90&lt;ηAC値Z,ηAC値Z&lt;=W90),1,0)</f>
        <v>0</v>
      </c>
      <c r="F90" s="157">
        <f t="shared" si="14"/>
        <v>0</v>
      </c>
      <c r="G90" s="158">
        <f t="shared" si="15"/>
        <v>0</v>
      </c>
      <c r="H90" s="158">
        <f t="shared" si="16"/>
        <v>0</v>
      </c>
      <c r="I90" s="158">
        <f t="shared" si="17"/>
        <v>0</v>
      </c>
      <c r="J90" s="159">
        <f t="shared" si="18"/>
        <v>0</v>
      </c>
      <c r="N90" s="456"/>
      <c r="O90" s="457"/>
      <c r="P90" s="457"/>
      <c r="Q90" s="457"/>
      <c r="R90" s="462"/>
      <c r="S90" s="53">
        <v>3</v>
      </c>
      <c r="T90" s="7" t="s">
        <v>46</v>
      </c>
      <c r="U90" s="7" t="s">
        <v>47</v>
      </c>
      <c r="V90" s="7" t="s">
        <v>42</v>
      </c>
      <c r="W90" s="52">
        <v>3.5</v>
      </c>
      <c r="X90" s="3">
        <v>4</v>
      </c>
      <c r="Z90" s="53"/>
      <c r="AA90" s="7"/>
      <c r="AB90" s="7"/>
      <c r="AC90" s="7"/>
      <c r="AD90" s="52"/>
      <c r="AE90" s="3">
        <v>4</v>
      </c>
      <c r="AG90" s="53"/>
      <c r="AH90" s="7"/>
      <c r="AI90" s="7"/>
      <c r="AJ90" s="7"/>
      <c r="AK90" s="52"/>
      <c r="AL90" s="3">
        <v>4</v>
      </c>
      <c r="AN90" s="53"/>
      <c r="AO90" s="7"/>
      <c r="AP90" s="7"/>
      <c r="AQ90" s="7"/>
      <c r="AR90" s="52"/>
      <c r="AS90" s="62">
        <v>4</v>
      </c>
      <c r="AU90" s="53"/>
      <c r="AV90" s="7"/>
      <c r="AW90" s="7"/>
      <c r="AX90" s="7"/>
      <c r="AY90" s="52"/>
      <c r="AZ90" s="62">
        <v>0</v>
      </c>
    </row>
    <row r="91" spans="1:52" x14ac:dyDescent="0.4">
      <c r="A91" s="12">
        <f t="shared" si="19"/>
        <v>29</v>
      </c>
      <c r="B91" s="77">
        <f t="shared" si="13"/>
        <v>0</v>
      </c>
      <c r="C91" s="41">
        <f t="shared" si="20"/>
        <v>0</v>
      </c>
      <c r="D91" s="41">
        <f>D87</f>
        <v>0</v>
      </c>
      <c r="E91" s="41">
        <f>IF(AND(S91&lt;ηAC値Z,ηAC値Z&lt;=W91),1,0)</f>
        <v>0</v>
      </c>
      <c r="F91" s="157">
        <f t="shared" si="14"/>
        <v>0</v>
      </c>
      <c r="G91" s="158">
        <f t="shared" si="15"/>
        <v>0</v>
      </c>
      <c r="H91" s="158">
        <f t="shared" si="16"/>
        <v>0</v>
      </c>
      <c r="I91" s="158">
        <f t="shared" si="17"/>
        <v>0</v>
      </c>
      <c r="J91" s="159">
        <f t="shared" si="18"/>
        <v>0</v>
      </c>
      <c r="N91" s="456"/>
      <c r="O91" s="457"/>
      <c r="P91" s="457"/>
      <c r="Q91" s="457"/>
      <c r="R91" s="462"/>
      <c r="S91" s="53">
        <v>3.5</v>
      </c>
      <c r="T91" s="7" t="s">
        <v>46</v>
      </c>
      <c r="U91" s="7" t="s">
        <v>47</v>
      </c>
      <c r="V91" s="7" t="s">
        <v>42</v>
      </c>
      <c r="W91" s="52">
        <v>4</v>
      </c>
      <c r="X91" s="3">
        <v>4</v>
      </c>
      <c r="Z91" s="53"/>
      <c r="AA91" s="7"/>
      <c r="AB91" s="7"/>
      <c r="AC91" s="7"/>
      <c r="AD91" s="52"/>
      <c r="AE91" s="3">
        <v>4</v>
      </c>
      <c r="AG91" s="53"/>
      <c r="AH91" s="7"/>
      <c r="AI91" s="7"/>
      <c r="AJ91" s="7"/>
      <c r="AK91" s="52"/>
      <c r="AL91" s="3">
        <v>4</v>
      </c>
      <c r="AN91" s="53"/>
      <c r="AO91" s="7"/>
      <c r="AP91" s="7"/>
      <c r="AQ91" s="7"/>
      <c r="AR91" s="52"/>
      <c r="AS91" s="62">
        <v>4</v>
      </c>
      <c r="AU91" s="53"/>
      <c r="AV91" s="7"/>
      <c r="AW91" s="7"/>
      <c r="AX91" s="7"/>
      <c r="AY91" s="52"/>
      <c r="AZ91" s="62">
        <v>0</v>
      </c>
    </row>
    <row r="92" spans="1:52" ht="19.5" thickBot="1" x14ac:dyDescent="0.45">
      <c r="A92" s="12">
        <f t="shared" si="19"/>
        <v>30</v>
      </c>
      <c r="B92" s="77">
        <f t="shared" si="13"/>
        <v>0</v>
      </c>
      <c r="C92" s="41">
        <f t="shared" si="20"/>
        <v>0</v>
      </c>
      <c r="D92" s="42">
        <f>D87</f>
        <v>0</v>
      </c>
      <c r="E92" s="41">
        <f>IF(AND(S92&lt;ηAC値Z,ηAC値Z&lt;=W92),1,0)</f>
        <v>0</v>
      </c>
      <c r="F92" s="160">
        <f t="shared" si="14"/>
        <v>0</v>
      </c>
      <c r="G92" s="161">
        <f t="shared" si="15"/>
        <v>0</v>
      </c>
      <c r="H92" s="161">
        <f t="shared" si="16"/>
        <v>0</v>
      </c>
      <c r="I92" s="161">
        <f t="shared" si="17"/>
        <v>0</v>
      </c>
      <c r="J92" s="162">
        <f t="shared" si="18"/>
        <v>0</v>
      </c>
      <c r="N92" s="463"/>
      <c r="O92" s="464"/>
      <c r="P92" s="464"/>
      <c r="Q92" s="464"/>
      <c r="R92" s="466"/>
      <c r="S92" s="63">
        <v>4</v>
      </c>
      <c r="T92" s="48" t="s">
        <v>46</v>
      </c>
      <c r="U92" s="48" t="s">
        <v>47</v>
      </c>
      <c r="V92" s="48" t="s">
        <v>42</v>
      </c>
      <c r="W92" s="64">
        <v>4.5</v>
      </c>
      <c r="X92" s="65">
        <v>4</v>
      </c>
      <c r="Y92" s="46"/>
      <c r="Z92" s="63"/>
      <c r="AA92" s="48"/>
      <c r="AB92" s="48"/>
      <c r="AC92" s="48"/>
      <c r="AD92" s="64"/>
      <c r="AE92" s="65">
        <v>5</v>
      </c>
      <c r="AF92" s="46"/>
      <c r="AG92" s="63"/>
      <c r="AH92" s="48"/>
      <c r="AI92" s="48"/>
      <c r="AJ92" s="48"/>
      <c r="AK92" s="64"/>
      <c r="AL92" s="65">
        <v>5</v>
      </c>
      <c r="AM92" s="46"/>
      <c r="AN92" s="63"/>
      <c r="AO92" s="48"/>
      <c r="AP92" s="48"/>
      <c r="AQ92" s="48"/>
      <c r="AR92" s="64"/>
      <c r="AS92" s="66">
        <v>5</v>
      </c>
      <c r="AU92" s="63"/>
      <c r="AV92" s="48"/>
      <c r="AW92" s="48"/>
      <c r="AX92" s="48"/>
      <c r="AY92" s="64"/>
      <c r="AZ92" s="66">
        <v>0</v>
      </c>
    </row>
    <row r="93" spans="1:52" x14ac:dyDescent="0.4">
      <c r="A93" s="12">
        <f t="shared" si="19"/>
        <v>31</v>
      </c>
      <c r="B93" s="77">
        <f t="shared" si="13"/>
        <v>0</v>
      </c>
      <c r="C93" s="41">
        <f t="shared" si="20"/>
        <v>0</v>
      </c>
      <c r="D93" s="40">
        <f>IF(N93&lt;=UA値z,1,0)</f>
        <v>0</v>
      </c>
      <c r="E93" s="40">
        <f>IF(ηAC値Z&lt;=W93,1,0)</f>
        <v>0</v>
      </c>
      <c r="F93" s="154">
        <f t="shared" si="14"/>
        <v>0</v>
      </c>
      <c r="G93" s="155">
        <f t="shared" si="15"/>
        <v>0</v>
      </c>
      <c r="H93" s="155">
        <f t="shared" si="16"/>
        <v>0</v>
      </c>
      <c r="I93" s="155">
        <f t="shared" si="17"/>
        <v>0</v>
      </c>
      <c r="J93" s="156">
        <f t="shared" si="18"/>
        <v>0</v>
      </c>
      <c r="N93" s="456">
        <v>1.32</v>
      </c>
      <c r="O93" s="457" t="s">
        <v>42</v>
      </c>
      <c r="P93" s="457" t="s">
        <v>45</v>
      </c>
      <c r="Q93" s="457"/>
      <c r="R93" s="462"/>
      <c r="S93" s="13"/>
      <c r="T93" s="2"/>
      <c r="U93" s="2" t="s">
        <v>47</v>
      </c>
      <c r="V93" s="2" t="s">
        <v>42</v>
      </c>
      <c r="W93" s="54">
        <v>2</v>
      </c>
      <c r="X93" s="42">
        <v>3</v>
      </c>
      <c r="Z93" s="13"/>
      <c r="AA93" s="2"/>
      <c r="AB93" s="2"/>
      <c r="AC93" s="2"/>
      <c r="AD93" s="54"/>
      <c r="AE93" s="42">
        <v>3</v>
      </c>
      <c r="AG93" s="13"/>
      <c r="AH93" s="2"/>
      <c r="AI93" s="2"/>
      <c r="AJ93" s="2"/>
      <c r="AK93" s="54"/>
      <c r="AL93" s="42">
        <v>3</v>
      </c>
      <c r="AN93" s="13"/>
      <c r="AO93" s="2"/>
      <c r="AP93" s="2"/>
      <c r="AQ93" s="2"/>
      <c r="AR93" s="54"/>
      <c r="AS93" s="74">
        <v>3</v>
      </c>
      <c r="AU93" s="13"/>
      <c r="AV93" s="2"/>
      <c r="AW93" s="2"/>
      <c r="AX93" s="2"/>
      <c r="AY93" s="54"/>
      <c r="AZ93" s="74">
        <v>0</v>
      </c>
    </row>
    <row r="94" spans="1:52" x14ac:dyDescent="0.4">
      <c r="A94" s="12">
        <f t="shared" si="19"/>
        <v>32</v>
      </c>
      <c r="B94" s="77">
        <f t="shared" si="13"/>
        <v>0</v>
      </c>
      <c r="C94" s="41">
        <f t="shared" si="20"/>
        <v>0</v>
      </c>
      <c r="D94" s="41">
        <f>D93</f>
        <v>0</v>
      </c>
      <c r="E94" s="41">
        <f>IF(AND(S94&lt;ηAC値Z,ηAC値Z&lt;=W94),1,0)</f>
        <v>1</v>
      </c>
      <c r="F94" s="157">
        <f t="shared" si="14"/>
        <v>3</v>
      </c>
      <c r="G94" s="158">
        <f t="shared" si="15"/>
        <v>3</v>
      </c>
      <c r="H94" s="158">
        <f t="shared" si="16"/>
        <v>3</v>
      </c>
      <c r="I94" s="158">
        <f t="shared" si="17"/>
        <v>3</v>
      </c>
      <c r="J94" s="159">
        <f t="shared" si="18"/>
        <v>0</v>
      </c>
      <c r="N94" s="456"/>
      <c r="O94" s="457"/>
      <c r="P94" s="457"/>
      <c r="Q94" s="457"/>
      <c r="R94" s="462"/>
      <c r="S94" s="53">
        <v>2</v>
      </c>
      <c r="T94" s="7" t="s">
        <v>46</v>
      </c>
      <c r="U94" s="7" t="s">
        <v>47</v>
      </c>
      <c r="V94" s="7" t="s">
        <v>42</v>
      </c>
      <c r="W94" s="52">
        <v>2.5</v>
      </c>
      <c r="X94" s="3">
        <v>3</v>
      </c>
      <c r="Z94" s="53"/>
      <c r="AA94" s="7"/>
      <c r="AB94" s="7"/>
      <c r="AC94" s="7"/>
      <c r="AD94" s="52"/>
      <c r="AE94" s="3">
        <v>3</v>
      </c>
      <c r="AG94" s="53"/>
      <c r="AH94" s="7"/>
      <c r="AI94" s="7"/>
      <c r="AJ94" s="7"/>
      <c r="AK94" s="52"/>
      <c r="AL94" s="3">
        <v>3</v>
      </c>
      <c r="AN94" s="53"/>
      <c r="AO94" s="7"/>
      <c r="AP94" s="7"/>
      <c r="AQ94" s="7"/>
      <c r="AR94" s="52"/>
      <c r="AS94" s="62">
        <v>3</v>
      </c>
      <c r="AU94" s="53"/>
      <c r="AV94" s="7"/>
      <c r="AW94" s="7"/>
      <c r="AX94" s="7"/>
      <c r="AY94" s="52"/>
      <c r="AZ94" s="62">
        <v>0</v>
      </c>
    </row>
    <row r="95" spans="1:52" x14ac:dyDescent="0.4">
      <c r="A95" s="12">
        <f t="shared" si="19"/>
        <v>33</v>
      </c>
      <c r="B95" s="77">
        <f t="shared" si="13"/>
        <v>0</v>
      </c>
      <c r="C95" s="41">
        <f t="shared" si="20"/>
        <v>0</v>
      </c>
      <c r="D95" s="41">
        <f>D93</f>
        <v>0</v>
      </c>
      <c r="E95" s="41">
        <f>IF(AND(S95&lt;ηAC値Z,ηAC値Z&lt;=W95),1,0)</f>
        <v>0</v>
      </c>
      <c r="F95" s="157">
        <f t="shared" si="14"/>
        <v>0</v>
      </c>
      <c r="G95" s="158">
        <f t="shared" si="15"/>
        <v>0</v>
      </c>
      <c r="H95" s="158">
        <f t="shared" si="16"/>
        <v>0</v>
      </c>
      <c r="I95" s="158">
        <f t="shared" si="17"/>
        <v>0</v>
      </c>
      <c r="J95" s="159">
        <f t="shared" si="18"/>
        <v>0</v>
      </c>
      <c r="N95" s="456"/>
      <c r="O95" s="457"/>
      <c r="P95" s="457"/>
      <c r="Q95" s="457"/>
      <c r="R95" s="462"/>
      <c r="S95" s="53">
        <v>2.5</v>
      </c>
      <c r="T95" s="7" t="s">
        <v>46</v>
      </c>
      <c r="U95" s="7" t="s">
        <v>47</v>
      </c>
      <c r="V95" s="7" t="s">
        <v>42</v>
      </c>
      <c r="W95" s="52">
        <v>3</v>
      </c>
      <c r="X95" s="3">
        <v>3</v>
      </c>
      <c r="Z95" s="53"/>
      <c r="AA95" s="7"/>
      <c r="AB95" s="7"/>
      <c r="AC95" s="7"/>
      <c r="AD95" s="52"/>
      <c r="AE95" s="3">
        <v>3</v>
      </c>
      <c r="AG95" s="53"/>
      <c r="AH95" s="7"/>
      <c r="AI95" s="7"/>
      <c r="AJ95" s="7"/>
      <c r="AK95" s="52"/>
      <c r="AL95" s="3">
        <v>3</v>
      </c>
      <c r="AN95" s="53"/>
      <c r="AO95" s="7"/>
      <c r="AP95" s="7"/>
      <c r="AQ95" s="7"/>
      <c r="AR95" s="52"/>
      <c r="AS95" s="62">
        <v>3</v>
      </c>
      <c r="AU95" s="53"/>
      <c r="AV95" s="7"/>
      <c r="AW95" s="7"/>
      <c r="AX95" s="7"/>
      <c r="AY95" s="52"/>
      <c r="AZ95" s="62">
        <v>0</v>
      </c>
    </row>
    <row r="96" spans="1:52" x14ac:dyDescent="0.4">
      <c r="A96" s="12">
        <f t="shared" si="19"/>
        <v>34</v>
      </c>
      <c r="B96" s="77">
        <f t="shared" si="13"/>
        <v>0</v>
      </c>
      <c r="C96" s="41">
        <f t="shared" si="20"/>
        <v>0</v>
      </c>
      <c r="D96" s="41">
        <f>D93</f>
        <v>0</v>
      </c>
      <c r="E96" s="41">
        <f>IF(AND(S96&lt;ηAC値Z,ηAC値Z&lt;=W96),1,0)</f>
        <v>0</v>
      </c>
      <c r="F96" s="157">
        <f t="shared" si="14"/>
        <v>0</v>
      </c>
      <c r="G96" s="158">
        <f t="shared" si="15"/>
        <v>0</v>
      </c>
      <c r="H96" s="158">
        <f t="shared" si="16"/>
        <v>0</v>
      </c>
      <c r="I96" s="158">
        <f t="shared" si="17"/>
        <v>0</v>
      </c>
      <c r="J96" s="159">
        <f t="shared" si="18"/>
        <v>0</v>
      </c>
      <c r="N96" s="456"/>
      <c r="O96" s="457"/>
      <c r="P96" s="457"/>
      <c r="Q96" s="457"/>
      <c r="R96" s="462"/>
      <c r="S96" s="53">
        <v>3</v>
      </c>
      <c r="T96" s="7" t="s">
        <v>46</v>
      </c>
      <c r="U96" s="7" t="s">
        <v>47</v>
      </c>
      <c r="V96" s="7" t="s">
        <v>42</v>
      </c>
      <c r="W96" s="52">
        <v>3.5</v>
      </c>
      <c r="X96" s="3">
        <v>3</v>
      </c>
      <c r="Z96" s="53"/>
      <c r="AA96" s="7"/>
      <c r="AB96" s="7"/>
      <c r="AC96" s="7"/>
      <c r="AD96" s="52"/>
      <c r="AE96" s="3">
        <v>4</v>
      </c>
      <c r="AG96" s="53"/>
      <c r="AH96" s="7"/>
      <c r="AI96" s="7"/>
      <c r="AJ96" s="7"/>
      <c r="AK96" s="52"/>
      <c r="AL96" s="3">
        <v>4</v>
      </c>
      <c r="AN96" s="53"/>
      <c r="AO96" s="7"/>
      <c r="AP96" s="7"/>
      <c r="AQ96" s="7"/>
      <c r="AR96" s="52"/>
      <c r="AS96" s="62">
        <v>4</v>
      </c>
      <c r="AU96" s="53"/>
      <c r="AV96" s="7"/>
      <c r="AW96" s="7"/>
      <c r="AX96" s="7"/>
      <c r="AY96" s="52"/>
      <c r="AZ96" s="62">
        <v>0</v>
      </c>
    </row>
    <row r="97" spans="1:52" x14ac:dyDescent="0.4">
      <c r="A97" s="12">
        <f t="shared" si="19"/>
        <v>35</v>
      </c>
      <c r="B97" s="77">
        <f t="shared" si="13"/>
        <v>0</v>
      </c>
      <c r="C97" s="41">
        <f t="shared" si="20"/>
        <v>0</v>
      </c>
      <c r="D97" s="41">
        <f>D93</f>
        <v>0</v>
      </c>
      <c r="E97" s="41">
        <f>IF(AND(S97&lt;ηAC値Z,ηAC値Z&lt;=W97),1,0)</f>
        <v>0</v>
      </c>
      <c r="F97" s="157">
        <f t="shared" si="14"/>
        <v>0</v>
      </c>
      <c r="G97" s="158">
        <f t="shared" si="15"/>
        <v>0</v>
      </c>
      <c r="H97" s="158">
        <f t="shared" si="16"/>
        <v>0</v>
      </c>
      <c r="I97" s="158">
        <f t="shared" si="17"/>
        <v>0</v>
      </c>
      <c r="J97" s="159">
        <f t="shared" si="18"/>
        <v>0</v>
      </c>
      <c r="N97" s="456"/>
      <c r="O97" s="457"/>
      <c r="P97" s="457"/>
      <c r="Q97" s="457"/>
      <c r="R97" s="462"/>
      <c r="S97" s="53">
        <v>3.5</v>
      </c>
      <c r="T97" s="7" t="s">
        <v>46</v>
      </c>
      <c r="U97" s="7" t="s">
        <v>47</v>
      </c>
      <c r="V97" s="7" t="s">
        <v>42</v>
      </c>
      <c r="W97" s="52">
        <v>4</v>
      </c>
      <c r="X97" s="3">
        <v>4</v>
      </c>
      <c r="Z97" s="53"/>
      <c r="AA97" s="7"/>
      <c r="AB97" s="7"/>
      <c r="AC97" s="7"/>
      <c r="AD97" s="52"/>
      <c r="AE97" s="3">
        <v>4</v>
      </c>
      <c r="AG97" s="53"/>
      <c r="AH97" s="7"/>
      <c r="AI97" s="7"/>
      <c r="AJ97" s="7"/>
      <c r="AK97" s="52"/>
      <c r="AL97" s="3">
        <v>4</v>
      </c>
      <c r="AN97" s="53"/>
      <c r="AO97" s="7"/>
      <c r="AP97" s="7"/>
      <c r="AQ97" s="7"/>
      <c r="AR97" s="52"/>
      <c r="AS97" s="62">
        <v>4</v>
      </c>
      <c r="AU97" s="53"/>
      <c r="AV97" s="7"/>
      <c r="AW97" s="7"/>
      <c r="AX97" s="7"/>
      <c r="AY97" s="52"/>
      <c r="AZ97" s="62">
        <v>0</v>
      </c>
    </row>
    <row r="98" spans="1:52" ht="19.5" thickBot="1" x14ac:dyDescent="0.45">
      <c r="A98" s="12">
        <f t="shared" si="19"/>
        <v>36</v>
      </c>
      <c r="B98" s="77">
        <f t="shared" si="13"/>
        <v>0</v>
      </c>
      <c r="C98" s="42">
        <f t="shared" si="20"/>
        <v>0</v>
      </c>
      <c r="D98" s="42">
        <f>D93</f>
        <v>0</v>
      </c>
      <c r="E98" s="42">
        <f>IF(AND(S98&lt;ηAC値Z,ηAC値Z&lt;=W98),1,0)</f>
        <v>0</v>
      </c>
      <c r="F98" s="160">
        <f t="shared" si="14"/>
        <v>0</v>
      </c>
      <c r="G98" s="161">
        <f t="shared" si="15"/>
        <v>0</v>
      </c>
      <c r="H98" s="161">
        <f t="shared" si="16"/>
        <v>0</v>
      </c>
      <c r="I98" s="161">
        <f t="shared" si="17"/>
        <v>0</v>
      </c>
      <c r="J98" s="162">
        <f t="shared" si="18"/>
        <v>0</v>
      </c>
      <c r="N98" s="463"/>
      <c r="O98" s="464"/>
      <c r="P98" s="464"/>
      <c r="Q98" s="464"/>
      <c r="R98" s="466"/>
      <c r="S98" s="63">
        <v>4</v>
      </c>
      <c r="T98" s="48" t="s">
        <v>46</v>
      </c>
      <c r="U98" s="48" t="s">
        <v>47</v>
      </c>
      <c r="V98" s="48" t="s">
        <v>42</v>
      </c>
      <c r="W98" s="64">
        <v>4.5</v>
      </c>
      <c r="X98" s="65">
        <v>4</v>
      </c>
      <c r="Y98" s="46"/>
      <c r="Z98" s="63"/>
      <c r="AA98" s="48"/>
      <c r="AB98" s="48"/>
      <c r="AC98" s="48"/>
      <c r="AD98" s="64"/>
      <c r="AE98" s="65">
        <v>4</v>
      </c>
      <c r="AF98" s="46"/>
      <c r="AG98" s="63"/>
      <c r="AH98" s="48"/>
      <c r="AI98" s="48"/>
      <c r="AJ98" s="48"/>
      <c r="AK98" s="64"/>
      <c r="AL98" s="65">
        <v>4</v>
      </c>
      <c r="AM98" s="46"/>
      <c r="AN98" s="63"/>
      <c r="AO98" s="48"/>
      <c r="AP98" s="48"/>
      <c r="AQ98" s="48"/>
      <c r="AR98" s="64"/>
      <c r="AS98" s="66">
        <v>4</v>
      </c>
      <c r="AU98" s="63"/>
      <c r="AV98" s="48"/>
      <c r="AW98" s="48"/>
      <c r="AX98" s="48"/>
      <c r="AY98" s="64"/>
      <c r="AZ98" s="66">
        <v>0</v>
      </c>
    </row>
    <row r="99" spans="1:52" x14ac:dyDescent="0.4">
      <c r="A99" s="447" t="s">
        <v>247</v>
      </c>
      <c r="B99" s="449">
        <f>SUM(B63:B98)</f>
        <v>4</v>
      </c>
    </row>
    <row r="100" spans="1:52" ht="19.5" thickBot="1" x14ac:dyDescent="0.45">
      <c r="A100" s="448"/>
      <c r="B100" s="450"/>
    </row>
  </sheetData>
  <sheetProtection algorithmName="SHA-512" hashValue="ifeoR3XjQkW3jvOrW0dA3AuE14AnEy7CYde4dD4oOnoiSHaktACX1ufG9MIy0h+SCXeUw+G4TmTco2cZBMfdxg==" saltValue="RBTxX4Nh7Kf6M84KDnvIRg==" spinCount="100000" sheet="1" selectLockedCells="1"/>
  <mergeCells count="112">
    <mergeCell ref="S14:W14"/>
    <mergeCell ref="Z14:AD14"/>
    <mergeCell ref="AG14:AK14"/>
    <mergeCell ref="AN14:AR14"/>
    <mergeCell ref="S6:X13"/>
    <mergeCell ref="Z6:AE13"/>
    <mergeCell ref="AG6:AL13"/>
    <mergeCell ref="A99:A100"/>
    <mergeCell ref="B99:B100"/>
    <mergeCell ref="B61:C61"/>
    <mergeCell ref="D61:D62"/>
    <mergeCell ref="E61:E62"/>
    <mergeCell ref="A53:A54"/>
    <mergeCell ref="B53:B54"/>
    <mergeCell ref="N15:N20"/>
    <mergeCell ref="O15:O20"/>
    <mergeCell ref="P15:P20"/>
    <mergeCell ref="Q15:Q20"/>
    <mergeCell ref="R15:R20"/>
    <mergeCell ref="B13:C13"/>
    <mergeCell ref="D13:D14"/>
    <mergeCell ref="E13:E14"/>
    <mergeCell ref="N14:R14"/>
    <mergeCell ref="N27:N32"/>
    <mergeCell ref="AN3:AS3"/>
    <mergeCell ref="N3:O4"/>
    <mergeCell ref="P3:R3"/>
    <mergeCell ref="S3:X3"/>
    <mergeCell ref="Z3:AE3"/>
    <mergeCell ref="AG3:AL3"/>
    <mergeCell ref="P4:R4"/>
    <mergeCell ref="S4:X4"/>
    <mergeCell ref="Z4:AE4"/>
    <mergeCell ref="AG4:AL4"/>
    <mergeCell ref="AN4:AS4"/>
    <mergeCell ref="O27:O32"/>
    <mergeCell ref="P27:P32"/>
    <mergeCell ref="Q27:Q32"/>
    <mergeCell ref="R27:R32"/>
    <mergeCell ref="N21:N26"/>
    <mergeCell ref="O21:O26"/>
    <mergeCell ref="P21:P26"/>
    <mergeCell ref="Q21:Q26"/>
    <mergeCell ref="R21:R26"/>
    <mergeCell ref="N62:R62"/>
    <mergeCell ref="S62:W62"/>
    <mergeCell ref="Z62:AD62"/>
    <mergeCell ref="AG62:AK62"/>
    <mergeCell ref="AN62:AR62"/>
    <mergeCell ref="N69:N74"/>
    <mergeCell ref="O69:O74"/>
    <mergeCell ref="P69:P74"/>
    <mergeCell ref="Q69:Q74"/>
    <mergeCell ref="R69:R74"/>
    <mergeCell ref="N63:N68"/>
    <mergeCell ref="O63:O68"/>
    <mergeCell ref="P63:P68"/>
    <mergeCell ref="Q63:Q68"/>
    <mergeCell ref="R63:R68"/>
    <mergeCell ref="N81:N86"/>
    <mergeCell ref="O81:O86"/>
    <mergeCell ref="P81:P86"/>
    <mergeCell ref="Q81:Q86"/>
    <mergeCell ref="R81:R86"/>
    <mergeCell ref="N75:N80"/>
    <mergeCell ref="O75:O80"/>
    <mergeCell ref="P75:P80"/>
    <mergeCell ref="Q75:Q80"/>
    <mergeCell ref="R75:R80"/>
    <mergeCell ref="N93:N98"/>
    <mergeCell ref="O93:O98"/>
    <mergeCell ref="P93:P98"/>
    <mergeCell ref="Q93:Q98"/>
    <mergeCell ref="R93:R98"/>
    <mergeCell ref="N87:N92"/>
    <mergeCell ref="O87:O92"/>
    <mergeCell ref="P87:P92"/>
    <mergeCell ref="Q87:Q92"/>
    <mergeCell ref="R87:R92"/>
    <mergeCell ref="O39:O44"/>
    <mergeCell ref="P39:P44"/>
    <mergeCell ref="Q39:Q44"/>
    <mergeCell ref="R39:R44"/>
    <mergeCell ref="N33:N38"/>
    <mergeCell ref="O33:O38"/>
    <mergeCell ref="P33:P38"/>
    <mergeCell ref="Q33:Q38"/>
    <mergeCell ref="R33:R38"/>
    <mergeCell ref="AU62:AY62"/>
    <mergeCell ref="B12:J12"/>
    <mergeCell ref="F13:J13"/>
    <mergeCell ref="B60:J60"/>
    <mergeCell ref="F61:J61"/>
    <mergeCell ref="AU3:AZ3"/>
    <mergeCell ref="AU4:AZ4"/>
    <mergeCell ref="AU14:AY14"/>
    <mergeCell ref="AU55:AZ61"/>
    <mergeCell ref="AN6:AS13"/>
    <mergeCell ref="S55:X61"/>
    <mergeCell ref="Z55:AE61"/>
    <mergeCell ref="AG55:AL61"/>
    <mergeCell ref="AN55:AS61"/>
    <mergeCell ref="D7:F7"/>
    <mergeCell ref="D8:F8"/>
    <mergeCell ref="D9:F9"/>
    <mergeCell ref="D10:F10"/>
    <mergeCell ref="N45:N50"/>
    <mergeCell ref="O45:O50"/>
    <mergeCell ref="P45:P50"/>
    <mergeCell ref="Q45:Q50"/>
    <mergeCell ref="R45:R50"/>
    <mergeCell ref="N39:N4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8F85-49EE-49AA-A811-707339C6FE8D}">
  <dimension ref="A1:Z54"/>
  <sheetViews>
    <sheetView view="pageBreakPreview" topLeftCell="AB1" zoomScale="60" zoomScaleNormal="85" workbookViewId="0">
      <selection sqref="A1:AA1048576"/>
    </sheetView>
  </sheetViews>
  <sheetFormatPr defaultRowHeight="18.75" x14ac:dyDescent="0.4"/>
  <cols>
    <col min="1" max="5" width="0" hidden="1" customWidth="1"/>
    <col min="6" max="10" width="9" hidden="1" customWidth="1"/>
    <col min="11" max="20" width="0" hidden="1" customWidth="1"/>
    <col min="21" max="26" width="17.875" hidden="1" customWidth="1"/>
    <col min="27" max="27" width="0" hidden="1" customWidth="1"/>
  </cols>
  <sheetData>
    <row r="1" spans="1:25" x14ac:dyDescent="0.4">
      <c r="A1" s="85" t="s">
        <v>243</v>
      </c>
      <c r="B1" s="213">
        <f>一次エネ消費量表紙!C15</f>
        <v>1</v>
      </c>
      <c r="L1" t="s">
        <v>6</v>
      </c>
      <c r="N1" t="s">
        <v>138</v>
      </c>
    </row>
    <row r="2" spans="1:25" ht="19.5" thickBot="1" x14ac:dyDescent="0.45"/>
    <row r="3" spans="1:25" ht="19.5" thickBot="1" x14ac:dyDescent="0.45">
      <c r="A3" t="s">
        <v>48</v>
      </c>
      <c r="L3" t="s">
        <v>48</v>
      </c>
      <c r="U3" s="51" t="s">
        <v>139</v>
      </c>
      <c r="V3" s="51" t="s">
        <v>277</v>
      </c>
      <c r="W3" s="51" t="s">
        <v>140</v>
      </c>
      <c r="X3" s="51" t="s">
        <v>141</v>
      </c>
      <c r="Y3" s="51" t="s">
        <v>142</v>
      </c>
    </row>
    <row r="4" spans="1:25" ht="19.5" thickBot="1" x14ac:dyDescent="0.45">
      <c r="A4" s="469" t="s">
        <v>265</v>
      </c>
      <c r="B4" s="469"/>
      <c r="C4" s="3">
        <f>一次エネ消費量表紙!A49</f>
        <v>4</v>
      </c>
      <c r="N4" s="44" t="s">
        <v>49</v>
      </c>
      <c r="U4" s="470" t="s">
        <v>44</v>
      </c>
      <c r="V4" s="470"/>
      <c r="W4" s="470"/>
      <c r="X4" s="470"/>
      <c r="Y4" s="470"/>
    </row>
    <row r="5" spans="1:25" ht="19.5" thickBot="1" x14ac:dyDescent="0.45">
      <c r="B5" s="4" t="s">
        <v>44</v>
      </c>
      <c r="C5" s="201">
        <f>HLOOKUP(暖房方式番号Z,換気設備配列5地域,C4+1,FALSE)</f>
        <v>8</v>
      </c>
      <c r="M5" s="469" t="s">
        <v>50</v>
      </c>
      <c r="N5" s="469"/>
      <c r="O5" s="469"/>
      <c r="P5" s="469"/>
      <c r="Q5" s="469"/>
      <c r="R5" s="469"/>
      <c r="S5" s="469"/>
      <c r="T5" s="45"/>
      <c r="U5" s="213">
        <v>1</v>
      </c>
      <c r="V5" s="213">
        <v>2</v>
      </c>
      <c r="W5" s="213">
        <v>3</v>
      </c>
      <c r="X5" s="213">
        <v>4</v>
      </c>
      <c r="Y5" s="213">
        <v>5</v>
      </c>
    </row>
    <row r="6" spans="1:25" x14ac:dyDescent="0.4">
      <c r="M6" s="45" t="s">
        <v>73</v>
      </c>
      <c r="N6" s="418" t="s">
        <v>51</v>
      </c>
      <c r="O6" s="418"/>
      <c r="P6" s="418"/>
      <c r="Q6" s="418"/>
      <c r="R6" s="418"/>
      <c r="S6" s="418"/>
      <c r="T6" s="3">
        <v>1</v>
      </c>
      <c r="U6" s="3">
        <v>12</v>
      </c>
      <c r="V6" s="3">
        <v>12</v>
      </c>
      <c r="W6" s="3">
        <v>12</v>
      </c>
      <c r="X6" s="3">
        <v>12</v>
      </c>
      <c r="Y6" s="3">
        <v>0</v>
      </c>
    </row>
    <row r="7" spans="1:25" x14ac:dyDescent="0.4">
      <c r="M7" s="45" t="s">
        <v>73</v>
      </c>
      <c r="N7" s="418" t="s">
        <v>52</v>
      </c>
      <c r="O7" s="418"/>
      <c r="P7" s="418"/>
      <c r="Q7" s="418"/>
      <c r="R7" s="418"/>
      <c r="S7" s="418"/>
      <c r="T7" s="3">
        <v>2</v>
      </c>
      <c r="U7" s="3">
        <v>10</v>
      </c>
      <c r="V7" s="3">
        <v>10</v>
      </c>
      <c r="W7" s="3">
        <v>10</v>
      </c>
      <c r="X7" s="3">
        <v>10</v>
      </c>
      <c r="Y7" s="3">
        <v>0</v>
      </c>
    </row>
    <row r="8" spans="1:25" x14ac:dyDescent="0.4">
      <c r="M8" s="45" t="s">
        <v>73</v>
      </c>
      <c r="N8" s="418" t="s">
        <v>53</v>
      </c>
      <c r="O8" s="418"/>
      <c r="P8" s="418"/>
      <c r="Q8" s="418"/>
      <c r="R8" s="418"/>
      <c r="S8" s="418"/>
      <c r="T8" s="3">
        <v>3</v>
      </c>
      <c r="U8" s="3">
        <v>10</v>
      </c>
      <c r="V8" s="3">
        <v>10</v>
      </c>
      <c r="W8" s="3">
        <v>10</v>
      </c>
      <c r="X8" s="3">
        <v>10</v>
      </c>
      <c r="Y8" s="3">
        <v>0</v>
      </c>
    </row>
    <row r="9" spans="1:25" x14ac:dyDescent="0.4">
      <c r="M9" s="45" t="s">
        <v>73</v>
      </c>
      <c r="N9" s="418" t="s">
        <v>54</v>
      </c>
      <c r="O9" s="418"/>
      <c r="P9" s="418"/>
      <c r="Q9" s="418"/>
      <c r="R9" s="418"/>
      <c r="S9" s="418"/>
      <c r="T9" s="3">
        <v>4</v>
      </c>
      <c r="U9" s="3">
        <v>8</v>
      </c>
      <c r="V9" s="3">
        <v>8</v>
      </c>
      <c r="W9" s="3">
        <v>8</v>
      </c>
      <c r="X9" s="3">
        <v>8</v>
      </c>
      <c r="Y9" s="3">
        <v>0</v>
      </c>
    </row>
    <row r="10" spans="1:25" x14ac:dyDescent="0.4">
      <c r="A10" t="s">
        <v>55</v>
      </c>
    </row>
    <row r="11" spans="1:25" ht="19.5" thickBot="1" x14ac:dyDescent="0.45">
      <c r="A11" s="469" t="s">
        <v>265</v>
      </c>
      <c r="B11" s="469"/>
      <c r="C11" s="3">
        <f>一次エネ消費量表紙!F68</f>
        <v>1</v>
      </c>
      <c r="L11" t="s">
        <v>55</v>
      </c>
    </row>
    <row r="12" spans="1:25" ht="19.5" thickBot="1" x14ac:dyDescent="0.45">
      <c r="B12" s="4" t="s">
        <v>44</v>
      </c>
      <c r="C12" s="201">
        <f>HLOOKUP(暖房方式番号Z,給湯設備配列5地域,C11+1,FALSE)</f>
        <v>44</v>
      </c>
      <c r="N12" s="44" t="s">
        <v>49</v>
      </c>
      <c r="O12" s="44"/>
      <c r="P12" s="44"/>
      <c r="Q12" s="44"/>
      <c r="R12" s="44"/>
      <c r="S12" s="44"/>
      <c r="T12" s="3"/>
      <c r="U12" s="51" t="s">
        <v>139</v>
      </c>
      <c r="V12" s="51" t="s">
        <v>140</v>
      </c>
      <c r="W12" s="51" t="s">
        <v>141</v>
      </c>
      <c r="X12" s="51" t="s">
        <v>142</v>
      </c>
      <c r="Y12" s="51" t="s">
        <v>277</v>
      </c>
    </row>
    <row r="13" spans="1:25" x14ac:dyDescent="0.4">
      <c r="M13" s="469" t="s">
        <v>50</v>
      </c>
      <c r="N13" s="469"/>
      <c r="O13" s="469"/>
      <c r="P13" s="469"/>
      <c r="Q13" s="469"/>
      <c r="R13" s="3" t="s">
        <v>56</v>
      </c>
      <c r="S13" s="3"/>
      <c r="T13" s="3"/>
      <c r="U13" s="211">
        <v>1</v>
      </c>
      <c r="V13" s="211">
        <v>2</v>
      </c>
      <c r="W13" s="211">
        <v>3</v>
      </c>
      <c r="X13" s="221">
        <v>4</v>
      </c>
      <c r="Y13" s="211">
        <v>5</v>
      </c>
    </row>
    <row r="14" spans="1:25" x14ac:dyDescent="0.4">
      <c r="M14" s="45" t="s">
        <v>73</v>
      </c>
      <c r="N14" s="418" t="s">
        <v>33</v>
      </c>
      <c r="O14" s="418"/>
      <c r="P14" s="418"/>
      <c r="Q14" s="418"/>
      <c r="R14" s="3"/>
      <c r="S14" s="45" t="s">
        <v>104</v>
      </c>
      <c r="T14" s="3">
        <v>1</v>
      </c>
      <c r="U14" s="3">
        <v>44</v>
      </c>
      <c r="V14" s="3">
        <v>44</v>
      </c>
      <c r="W14" s="3">
        <v>44</v>
      </c>
      <c r="X14" s="3">
        <v>44</v>
      </c>
      <c r="Y14" s="3">
        <v>0</v>
      </c>
    </row>
    <row r="15" spans="1:25" x14ac:dyDescent="0.4">
      <c r="M15" s="469" t="s">
        <v>73</v>
      </c>
      <c r="N15" s="418" t="s">
        <v>57</v>
      </c>
      <c r="O15" s="418"/>
      <c r="P15" s="418"/>
      <c r="Q15" s="418"/>
      <c r="R15" s="45" t="s">
        <v>73</v>
      </c>
      <c r="S15" s="3" t="s">
        <v>62</v>
      </c>
      <c r="T15" s="3">
        <v>2</v>
      </c>
      <c r="U15" s="3">
        <v>48</v>
      </c>
      <c r="V15" s="3">
        <v>48</v>
      </c>
      <c r="W15" s="3">
        <v>48</v>
      </c>
      <c r="X15" s="3">
        <v>48</v>
      </c>
      <c r="Y15" s="3">
        <v>0</v>
      </c>
    </row>
    <row r="16" spans="1:25" x14ac:dyDescent="0.4">
      <c r="M16" s="469"/>
      <c r="N16" s="418"/>
      <c r="O16" s="418"/>
      <c r="P16" s="418"/>
      <c r="Q16" s="418"/>
      <c r="R16" s="45" t="s">
        <v>73</v>
      </c>
      <c r="S16" s="3" t="s">
        <v>63</v>
      </c>
      <c r="T16" s="3">
        <v>3</v>
      </c>
      <c r="U16" s="3">
        <v>45</v>
      </c>
      <c r="V16" s="3">
        <v>45</v>
      </c>
      <c r="W16" s="3">
        <v>45</v>
      </c>
      <c r="X16" s="3">
        <v>45</v>
      </c>
      <c r="Y16" s="3">
        <v>0</v>
      </c>
    </row>
    <row r="17" spans="1:25" x14ac:dyDescent="0.4">
      <c r="M17" s="469" t="s">
        <v>73</v>
      </c>
      <c r="N17" s="418" t="s">
        <v>58</v>
      </c>
      <c r="O17" s="418"/>
      <c r="P17" s="418"/>
      <c r="Q17" s="418"/>
      <c r="R17" s="45" t="s">
        <v>73</v>
      </c>
      <c r="S17" s="3" t="s">
        <v>62</v>
      </c>
      <c r="T17" s="3">
        <v>4</v>
      </c>
      <c r="U17" s="3">
        <v>41</v>
      </c>
      <c r="V17" s="3">
        <v>41</v>
      </c>
      <c r="W17" s="3">
        <v>41</v>
      </c>
      <c r="X17" s="3">
        <v>41</v>
      </c>
      <c r="Y17" s="3">
        <v>0</v>
      </c>
    </row>
    <row r="18" spans="1:25" x14ac:dyDescent="0.4">
      <c r="M18" s="469"/>
      <c r="N18" s="418"/>
      <c r="O18" s="418"/>
      <c r="P18" s="418"/>
      <c r="Q18" s="418"/>
      <c r="R18" s="45" t="s">
        <v>73</v>
      </c>
      <c r="S18" s="3" t="s">
        <v>63</v>
      </c>
      <c r="T18" s="3">
        <v>5</v>
      </c>
      <c r="U18" s="3">
        <v>39</v>
      </c>
      <c r="V18" s="3">
        <v>39</v>
      </c>
      <c r="W18" s="3">
        <v>39</v>
      </c>
      <c r="X18" s="3">
        <v>39</v>
      </c>
      <c r="Y18" s="3">
        <v>0</v>
      </c>
    </row>
    <row r="19" spans="1:25" x14ac:dyDescent="0.4">
      <c r="M19" s="469" t="s">
        <v>73</v>
      </c>
      <c r="N19" s="418" t="s">
        <v>59</v>
      </c>
      <c r="O19" s="418"/>
      <c r="P19" s="418"/>
      <c r="Q19" s="418"/>
      <c r="R19" s="45" t="s">
        <v>73</v>
      </c>
      <c r="S19" s="3" t="s">
        <v>62</v>
      </c>
      <c r="T19" s="3">
        <v>6</v>
      </c>
      <c r="U19" s="3">
        <v>43</v>
      </c>
      <c r="V19" s="3">
        <v>43</v>
      </c>
      <c r="W19" s="3">
        <v>43</v>
      </c>
      <c r="X19" s="3">
        <v>43</v>
      </c>
      <c r="Y19" s="3">
        <v>0</v>
      </c>
    </row>
    <row r="20" spans="1:25" x14ac:dyDescent="0.4">
      <c r="M20" s="469"/>
      <c r="N20" s="418"/>
      <c r="O20" s="418"/>
      <c r="P20" s="418"/>
      <c r="Q20" s="418"/>
      <c r="R20" s="45" t="s">
        <v>73</v>
      </c>
      <c r="S20" s="3" t="s">
        <v>63</v>
      </c>
      <c r="T20" s="3">
        <v>7</v>
      </c>
      <c r="U20" s="3">
        <v>40</v>
      </c>
      <c r="V20" s="3">
        <v>40</v>
      </c>
      <c r="W20" s="3">
        <v>40</v>
      </c>
      <c r="X20" s="3">
        <v>40</v>
      </c>
      <c r="Y20" s="3">
        <v>0</v>
      </c>
    </row>
    <row r="21" spans="1:25" x14ac:dyDescent="0.4">
      <c r="M21" s="469" t="s">
        <v>73</v>
      </c>
      <c r="N21" s="418" t="s">
        <v>60</v>
      </c>
      <c r="O21" s="418"/>
      <c r="P21" s="418"/>
      <c r="Q21" s="418"/>
      <c r="R21" s="45" t="s">
        <v>73</v>
      </c>
      <c r="S21" s="3" t="s">
        <v>62</v>
      </c>
      <c r="T21" s="3">
        <v>8</v>
      </c>
      <c r="U21" s="3">
        <v>41</v>
      </c>
      <c r="V21" s="3">
        <v>41</v>
      </c>
      <c r="W21" s="3">
        <v>41</v>
      </c>
      <c r="X21" s="3">
        <v>41</v>
      </c>
      <c r="Y21" s="3">
        <v>0</v>
      </c>
    </row>
    <row r="22" spans="1:25" x14ac:dyDescent="0.4">
      <c r="M22" s="469"/>
      <c r="N22" s="418"/>
      <c r="O22" s="418"/>
      <c r="P22" s="418"/>
      <c r="Q22" s="418"/>
      <c r="R22" s="45" t="s">
        <v>73</v>
      </c>
      <c r="S22" s="3" t="s">
        <v>63</v>
      </c>
      <c r="T22" s="3">
        <v>9</v>
      </c>
      <c r="U22" s="3">
        <v>39</v>
      </c>
      <c r="V22" s="3">
        <v>39</v>
      </c>
      <c r="W22" s="3">
        <v>39</v>
      </c>
      <c r="X22" s="3">
        <v>39</v>
      </c>
      <c r="Y22" s="3">
        <v>0</v>
      </c>
    </row>
    <row r="23" spans="1:25" x14ac:dyDescent="0.4">
      <c r="M23" s="469" t="s">
        <v>73</v>
      </c>
      <c r="N23" s="418" t="s">
        <v>61</v>
      </c>
      <c r="O23" s="418"/>
      <c r="P23" s="418"/>
      <c r="Q23" s="418"/>
      <c r="R23" s="45" t="s">
        <v>73</v>
      </c>
      <c r="S23" s="3" t="s">
        <v>62</v>
      </c>
      <c r="T23" s="3">
        <v>10</v>
      </c>
      <c r="U23" s="3">
        <v>39</v>
      </c>
      <c r="V23" s="3">
        <v>39</v>
      </c>
      <c r="W23" s="3">
        <v>39</v>
      </c>
      <c r="X23" s="3">
        <v>39</v>
      </c>
      <c r="Y23" s="3">
        <v>0</v>
      </c>
    </row>
    <row r="24" spans="1:25" x14ac:dyDescent="0.4">
      <c r="M24" s="469"/>
      <c r="N24" s="418"/>
      <c r="O24" s="418"/>
      <c r="P24" s="418"/>
      <c r="Q24" s="418"/>
      <c r="R24" s="45" t="s">
        <v>73</v>
      </c>
      <c r="S24" s="3" t="s">
        <v>63</v>
      </c>
      <c r="T24" s="3">
        <v>11</v>
      </c>
      <c r="U24" s="3">
        <v>37</v>
      </c>
      <c r="V24" s="3">
        <v>37</v>
      </c>
      <c r="W24" s="3">
        <v>37</v>
      </c>
      <c r="X24" s="3">
        <v>37</v>
      </c>
      <c r="Y24" s="3">
        <v>0</v>
      </c>
    </row>
    <row r="25" spans="1:25" x14ac:dyDescent="0.4">
      <c r="N25" s="472" t="s">
        <v>65</v>
      </c>
      <c r="O25" s="472"/>
      <c r="P25" s="472"/>
      <c r="Q25" s="472"/>
      <c r="R25" s="472"/>
      <c r="S25" s="472"/>
      <c r="T25" s="472"/>
      <c r="U25" s="472"/>
      <c r="V25" s="203"/>
    </row>
    <row r="26" spans="1:25" x14ac:dyDescent="0.4">
      <c r="N26" s="472"/>
      <c r="O26" s="472"/>
      <c r="P26" s="472"/>
      <c r="Q26" s="472"/>
      <c r="R26" s="472"/>
      <c r="S26" s="472"/>
      <c r="T26" s="472"/>
      <c r="U26" s="472"/>
      <c r="V26" s="203"/>
    </row>
    <row r="27" spans="1:25" x14ac:dyDescent="0.4">
      <c r="N27" s="472"/>
      <c r="O27" s="472"/>
      <c r="P27" s="472"/>
      <c r="Q27" s="472"/>
      <c r="R27" s="472"/>
      <c r="S27" s="472"/>
      <c r="T27" s="472"/>
      <c r="U27" s="472"/>
      <c r="V27" s="203"/>
    </row>
    <row r="28" spans="1:25" x14ac:dyDescent="0.4">
      <c r="N28" s="472"/>
      <c r="O28" s="472"/>
      <c r="P28" s="472"/>
      <c r="Q28" s="472"/>
      <c r="R28" s="472"/>
      <c r="S28" s="472"/>
      <c r="T28" s="472"/>
      <c r="U28" s="472"/>
      <c r="V28" s="203"/>
    </row>
    <row r="29" spans="1:25" x14ac:dyDescent="0.4">
      <c r="A29" t="s">
        <v>64</v>
      </c>
      <c r="N29" s="472"/>
      <c r="O29" s="472"/>
      <c r="P29" s="472"/>
      <c r="Q29" s="472"/>
      <c r="R29" s="472"/>
      <c r="S29" s="472"/>
      <c r="T29" s="472"/>
      <c r="U29" s="472"/>
      <c r="V29" s="203"/>
    </row>
    <row r="30" spans="1:25" ht="19.5" thickBot="1" x14ac:dyDescent="0.45">
      <c r="A30" s="469" t="s">
        <v>265</v>
      </c>
      <c r="B30" s="469"/>
      <c r="C30" s="3">
        <f>一次エネ消費量表紙!F98</f>
        <v>1</v>
      </c>
      <c r="L30" t="s">
        <v>64</v>
      </c>
    </row>
    <row r="31" spans="1:25" ht="18.75" customHeight="1" thickBot="1" x14ac:dyDescent="0.45">
      <c r="B31" s="4" t="s">
        <v>44</v>
      </c>
      <c r="C31" s="201">
        <f>HLOOKUP(暖房方式番号Z,照明設備配列5地域,C30+1,FALSE)</f>
        <v>9</v>
      </c>
      <c r="N31" s="471" t="s">
        <v>66</v>
      </c>
      <c r="O31" s="471"/>
      <c r="P31" s="471"/>
      <c r="Q31" s="471"/>
      <c r="R31" s="471"/>
      <c r="S31" s="471"/>
      <c r="T31" s="471"/>
      <c r="U31" s="471"/>
      <c r="V31" s="202"/>
    </row>
    <row r="32" spans="1:25" x14ac:dyDescent="0.4">
      <c r="N32" s="471"/>
      <c r="O32" s="471"/>
      <c r="P32" s="471"/>
      <c r="Q32" s="471"/>
      <c r="R32" s="471"/>
      <c r="S32" s="471"/>
      <c r="T32" s="471"/>
      <c r="U32" s="471"/>
      <c r="V32" s="202"/>
    </row>
    <row r="33" spans="13:25" ht="19.5" thickBot="1" x14ac:dyDescent="0.45">
      <c r="N33" s="471"/>
      <c r="O33" s="471"/>
      <c r="P33" s="471"/>
      <c r="Q33" s="471"/>
      <c r="R33" s="471"/>
      <c r="S33" s="471"/>
      <c r="T33" s="471"/>
      <c r="U33" s="471"/>
      <c r="V33" s="202"/>
    </row>
    <row r="34" spans="13:25" ht="19.5" thickBot="1" x14ac:dyDescent="0.45">
      <c r="M34" s="469" t="s">
        <v>50</v>
      </c>
      <c r="N34" s="469"/>
      <c r="O34" s="469"/>
      <c r="P34" s="469"/>
      <c r="Q34" s="469"/>
      <c r="R34" s="469"/>
      <c r="S34" s="469"/>
      <c r="T34" s="45"/>
      <c r="U34" s="51" t="s">
        <v>139</v>
      </c>
      <c r="V34" s="51" t="s">
        <v>277</v>
      </c>
      <c r="W34" s="51" t="s">
        <v>140</v>
      </c>
      <c r="X34" s="51" t="s">
        <v>141</v>
      </c>
      <c r="Y34" s="51" t="s">
        <v>142</v>
      </c>
    </row>
    <row r="35" spans="13:25" x14ac:dyDescent="0.4">
      <c r="M35" s="469" t="s">
        <v>67</v>
      </c>
      <c r="N35" s="469"/>
      <c r="O35" s="469"/>
      <c r="P35" s="469"/>
      <c r="Q35" s="469" t="s">
        <v>68</v>
      </c>
      <c r="R35" s="469"/>
      <c r="S35" s="469"/>
      <c r="T35" s="45"/>
      <c r="U35" s="211">
        <v>1</v>
      </c>
      <c r="V35" s="211">
        <v>2</v>
      </c>
      <c r="W35" s="211">
        <v>3</v>
      </c>
      <c r="X35" s="211">
        <v>4</v>
      </c>
      <c r="Y35" s="211">
        <v>5</v>
      </c>
    </row>
    <row r="36" spans="13:25" x14ac:dyDescent="0.4">
      <c r="M36" s="469" t="s">
        <v>73</v>
      </c>
      <c r="N36" s="418" t="s">
        <v>33</v>
      </c>
      <c r="O36" s="418"/>
      <c r="P36" s="418"/>
      <c r="Q36" s="45" t="s">
        <v>73</v>
      </c>
      <c r="R36" s="418" t="s">
        <v>69</v>
      </c>
      <c r="S36" s="418"/>
      <c r="T36" s="3">
        <v>1</v>
      </c>
      <c r="U36" s="3">
        <v>9</v>
      </c>
      <c r="V36" s="3">
        <v>9</v>
      </c>
      <c r="W36" s="3">
        <v>9</v>
      </c>
      <c r="X36" s="3">
        <v>9</v>
      </c>
      <c r="Y36" s="3">
        <v>0</v>
      </c>
    </row>
    <row r="37" spans="13:25" x14ac:dyDescent="0.4">
      <c r="M37" s="469"/>
      <c r="N37" s="418"/>
      <c r="O37" s="418"/>
      <c r="P37" s="418"/>
      <c r="Q37" s="45" t="s">
        <v>73</v>
      </c>
      <c r="R37" s="418" t="s">
        <v>70</v>
      </c>
      <c r="S37" s="418"/>
      <c r="T37" s="3">
        <v>2</v>
      </c>
      <c r="U37" s="3">
        <v>9</v>
      </c>
      <c r="V37" s="3">
        <v>9</v>
      </c>
      <c r="W37" s="3">
        <v>9</v>
      </c>
      <c r="X37" s="3">
        <v>9</v>
      </c>
      <c r="Y37" s="3">
        <v>0</v>
      </c>
    </row>
    <row r="38" spans="13:25" x14ac:dyDescent="0.4">
      <c r="M38" s="469"/>
      <c r="N38" s="418"/>
      <c r="O38" s="418"/>
      <c r="P38" s="418"/>
      <c r="Q38" s="45" t="s">
        <v>73</v>
      </c>
      <c r="R38" s="418" t="s">
        <v>71</v>
      </c>
      <c r="S38" s="418"/>
      <c r="T38" s="3">
        <v>3</v>
      </c>
      <c r="U38" s="3">
        <v>9</v>
      </c>
      <c r="V38" s="3">
        <v>9</v>
      </c>
      <c r="W38" s="3">
        <v>9</v>
      </c>
      <c r="X38" s="3">
        <v>9</v>
      </c>
      <c r="Y38" s="3">
        <v>0</v>
      </c>
    </row>
    <row r="39" spans="13:25" x14ac:dyDescent="0.4">
      <c r="M39" s="469"/>
      <c r="N39" s="418"/>
      <c r="O39" s="418"/>
      <c r="P39" s="418"/>
      <c r="Q39" s="45" t="s">
        <v>73</v>
      </c>
      <c r="R39" s="418" t="s">
        <v>72</v>
      </c>
      <c r="S39" s="418"/>
      <c r="T39" s="3">
        <v>4</v>
      </c>
      <c r="U39" s="3">
        <v>12</v>
      </c>
      <c r="V39" s="3">
        <v>12</v>
      </c>
      <c r="W39" s="3">
        <v>12</v>
      </c>
      <c r="X39" s="3">
        <v>12</v>
      </c>
      <c r="Y39" s="3">
        <v>0</v>
      </c>
    </row>
    <row r="40" spans="13:25" x14ac:dyDescent="0.4">
      <c r="M40" s="469" t="s">
        <v>73</v>
      </c>
      <c r="N40" s="418" t="s">
        <v>70</v>
      </c>
      <c r="O40" s="418"/>
      <c r="P40" s="418"/>
      <c r="Q40" s="45" t="s">
        <v>73</v>
      </c>
      <c r="R40" s="418" t="s">
        <v>69</v>
      </c>
      <c r="S40" s="418"/>
      <c r="T40" s="3">
        <v>5</v>
      </c>
      <c r="U40" s="3">
        <v>9</v>
      </c>
      <c r="V40" s="3">
        <v>9</v>
      </c>
      <c r="W40" s="3">
        <v>9</v>
      </c>
      <c r="X40" s="3">
        <v>9</v>
      </c>
      <c r="Y40" s="3">
        <v>0</v>
      </c>
    </row>
    <row r="41" spans="13:25" x14ac:dyDescent="0.4">
      <c r="M41" s="469"/>
      <c r="N41" s="418"/>
      <c r="O41" s="418"/>
      <c r="P41" s="418"/>
      <c r="Q41" s="45" t="s">
        <v>73</v>
      </c>
      <c r="R41" s="418" t="s">
        <v>70</v>
      </c>
      <c r="S41" s="418"/>
      <c r="T41" s="3">
        <v>6</v>
      </c>
      <c r="U41" s="3">
        <v>9</v>
      </c>
      <c r="V41" s="3">
        <v>9</v>
      </c>
      <c r="W41" s="3">
        <v>9</v>
      </c>
      <c r="X41" s="3">
        <v>9</v>
      </c>
      <c r="Y41" s="3">
        <v>0</v>
      </c>
    </row>
    <row r="42" spans="13:25" x14ac:dyDescent="0.4">
      <c r="M42" s="469"/>
      <c r="N42" s="418"/>
      <c r="O42" s="418"/>
      <c r="P42" s="418"/>
      <c r="Q42" s="45" t="s">
        <v>73</v>
      </c>
      <c r="R42" s="418" t="s">
        <v>71</v>
      </c>
      <c r="S42" s="418"/>
      <c r="T42" s="3">
        <v>7</v>
      </c>
      <c r="U42" s="3">
        <v>9</v>
      </c>
      <c r="V42" s="3">
        <v>9</v>
      </c>
      <c r="W42" s="3">
        <v>9</v>
      </c>
      <c r="X42" s="3">
        <v>9</v>
      </c>
      <c r="Y42" s="3">
        <v>0</v>
      </c>
    </row>
    <row r="43" spans="13:25" x14ac:dyDescent="0.4">
      <c r="M43" s="469"/>
      <c r="N43" s="418"/>
      <c r="O43" s="418"/>
      <c r="P43" s="418"/>
      <c r="Q43" s="45" t="s">
        <v>73</v>
      </c>
      <c r="R43" s="418" t="s">
        <v>72</v>
      </c>
      <c r="S43" s="418"/>
      <c r="T43" s="3">
        <v>8</v>
      </c>
      <c r="U43" s="3">
        <v>12</v>
      </c>
      <c r="V43" s="3">
        <v>12</v>
      </c>
      <c r="W43" s="3">
        <v>12</v>
      </c>
      <c r="X43" s="3">
        <v>12</v>
      </c>
      <c r="Y43" s="3">
        <v>0</v>
      </c>
    </row>
    <row r="44" spans="13:25" x14ac:dyDescent="0.4">
      <c r="M44" s="469" t="s">
        <v>73</v>
      </c>
      <c r="N44" s="418" t="s">
        <v>71</v>
      </c>
      <c r="O44" s="418"/>
      <c r="P44" s="418"/>
      <c r="Q44" s="45" t="s">
        <v>73</v>
      </c>
      <c r="R44" s="418" t="s">
        <v>69</v>
      </c>
      <c r="S44" s="418"/>
      <c r="T44" s="3">
        <v>9</v>
      </c>
      <c r="U44" s="3">
        <v>10</v>
      </c>
      <c r="V44" s="3">
        <v>10</v>
      </c>
      <c r="W44" s="3">
        <v>10</v>
      </c>
      <c r="X44" s="3">
        <v>10</v>
      </c>
      <c r="Y44" s="3">
        <v>0</v>
      </c>
    </row>
    <row r="45" spans="13:25" x14ac:dyDescent="0.4">
      <c r="M45" s="469"/>
      <c r="N45" s="418"/>
      <c r="O45" s="418"/>
      <c r="P45" s="418"/>
      <c r="Q45" s="45" t="s">
        <v>73</v>
      </c>
      <c r="R45" s="418" t="s">
        <v>70</v>
      </c>
      <c r="S45" s="418"/>
      <c r="T45" s="3">
        <v>10</v>
      </c>
      <c r="U45" s="3">
        <v>10</v>
      </c>
      <c r="V45" s="3">
        <v>10</v>
      </c>
      <c r="W45" s="3">
        <v>10</v>
      </c>
      <c r="X45" s="3">
        <v>10</v>
      </c>
      <c r="Y45" s="3">
        <v>0</v>
      </c>
    </row>
    <row r="46" spans="13:25" x14ac:dyDescent="0.4">
      <c r="M46" s="469"/>
      <c r="N46" s="418"/>
      <c r="O46" s="418"/>
      <c r="P46" s="418"/>
      <c r="Q46" s="45" t="s">
        <v>73</v>
      </c>
      <c r="R46" s="418" t="s">
        <v>71</v>
      </c>
      <c r="S46" s="418"/>
      <c r="T46" s="3">
        <v>11</v>
      </c>
      <c r="U46" s="3">
        <v>11</v>
      </c>
      <c r="V46" s="3">
        <v>11</v>
      </c>
      <c r="W46" s="3">
        <v>11</v>
      </c>
      <c r="X46" s="3">
        <v>11</v>
      </c>
      <c r="Y46" s="3">
        <v>0</v>
      </c>
    </row>
    <row r="47" spans="13:25" x14ac:dyDescent="0.4">
      <c r="M47" s="469"/>
      <c r="N47" s="418"/>
      <c r="O47" s="418"/>
      <c r="P47" s="418"/>
      <c r="Q47" s="45" t="s">
        <v>73</v>
      </c>
      <c r="R47" s="418" t="s">
        <v>72</v>
      </c>
      <c r="S47" s="418"/>
      <c r="T47" s="3">
        <v>12</v>
      </c>
      <c r="U47" s="3">
        <v>13</v>
      </c>
      <c r="V47" s="3">
        <v>13</v>
      </c>
      <c r="W47" s="3">
        <v>13</v>
      </c>
      <c r="X47" s="3">
        <v>13</v>
      </c>
      <c r="Y47" s="3">
        <v>0</v>
      </c>
    </row>
    <row r="48" spans="13:25" x14ac:dyDescent="0.4">
      <c r="M48" s="469" t="s">
        <v>73</v>
      </c>
      <c r="N48" s="418" t="s">
        <v>72</v>
      </c>
      <c r="O48" s="418"/>
      <c r="P48" s="418"/>
      <c r="Q48" s="45" t="s">
        <v>73</v>
      </c>
      <c r="R48" s="418" t="s">
        <v>69</v>
      </c>
      <c r="S48" s="418"/>
      <c r="T48" s="3">
        <v>13</v>
      </c>
      <c r="U48" s="3">
        <v>14</v>
      </c>
      <c r="V48" s="3">
        <v>14</v>
      </c>
      <c r="W48" s="3">
        <v>14</v>
      </c>
      <c r="X48" s="3">
        <v>14</v>
      </c>
      <c r="Y48" s="3">
        <v>0</v>
      </c>
    </row>
    <row r="49" spans="13:25" x14ac:dyDescent="0.4">
      <c r="M49" s="469"/>
      <c r="N49" s="418"/>
      <c r="O49" s="418"/>
      <c r="P49" s="418"/>
      <c r="Q49" s="45" t="s">
        <v>73</v>
      </c>
      <c r="R49" s="418" t="s">
        <v>70</v>
      </c>
      <c r="S49" s="418"/>
      <c r="T49" s="3">
        <v>14</v>
      </c>
      <c r="U49" s="3">
        <v>14</v>
      </c>
      <c r="V49" s="3">
        <v>14</v>
      </c>
      <c r="W49" s="3">
        <v>14</v>
      </c>
      <c r="X49" s="3">
        <v>14</v>
      </c>
      <c r="Y49" s="3">
        <v>0</v>
      </c>
    </row>
    <row r="50" spans="13:25" x14ac:dyDescent="0.4">
      <c r="M50" s="469"/>
      <c r="N50" s="418"/>
      <c r="O50" s="418"/>
      <c r="P50" s="418"/>
      <c r="Q50" s="45" t="s">
        <v>73</v>
      </c>
      <c r="R50" s="418" t="s">
        <v>71</v>
      </c>
      <c r="S50" s="418"/>
      <c r="T50" s="3">
        <v>15</v>
      </c>
      <c r="U50" s="3">
        <v>15</v>
      </c>
      <c r="V50" s="3">
        <v>15</v>
      </c>
      <c r="W50" s="3">
        <v>15</v>
      </c>
      <c r="X50" s="3">
        <v>15</v>
      </c>
      <c r="Y50" s="3">
        <v>0</v>
      </c>
    </row>
    <row r="51" spans="13:25" x14ac:dyDescent="0.4">
      <c r="M51" s="469"/>
      <c r="N51" s="418"/>
      <c r="O51" s="418"/>
      <c r="P51" s="418"/>
      <c r="Q51" s="45" t="s">
        <v>73</v>
      </c>
      <c r="R51" s="418" t="s">
        <v>72</v>
      </c>
      <c r="S51" s="418"/>
      <c r="T51" s="3">
        <v>16</v>
      </c>
      <c r="U51" s="3">
        <v>17</v>
      </c>
      <c r="V51" s="3">
        <v>17</v>
      </c>
      <c r="W51" s="3">
        <v>17</v>
      </c>
      <c r="X51" s="3">
        <v>17</v>
      </c>
      <c r="Y51" s="3">
        <v>0</v>
      </c>
    </row>
    <row r="52" spans="13:25" x14ac:dyDescent="0.4">
      <c r="N52" s="471" t="s">
        <v>74</v>
      </c>
      <c r="O52" s="471"/>
      <c r="P52" s="471"/>
      <c r="Q52" s="471"/>
      <c r="R52" s="471"/>
      <c r="S52" s="471"/>
      <c r="T52" s="471"/>
      <c r="U52" s="471"/>
      <c r="V52" s="202"/>
    </row>
    <row r="53" spans="13:25" x14ac:dyDescent="0.4">
      <c r="N53" s="471"/>
      <c r="O53" s="471"/>
      <c r="P53" s="471"/>
      <c r="Q53" s="471"/>
      <c r="R53" s="471"/>
      <c r="S53" s="471"/>
      <c r="T53" s="471"/>
      <c r="U53" s="471"/>
      <c r="V53" s="202"/>
    </row>
    <row r="54" spans="13:25" x14ac:dyDescent="0.4">
      <c r="N54" s="471"/>
      <c r="O54" s="471"/>
      <c r="P54" s="471"/>
      <c r="Q54" s="471"/>
      <c r="R54" s="471"/>
      <c r="S54" s="471"/>
      <c r="T54" s="471"/>
      <c r="U54" s="471"/>
      <c r="V54" s="202"/>
    </row>
  </sheetData>
  <sheetProtection algorithmName="SHA-512" hashValue="WIfU66m0xYSsLBEcv88Yf2jxUF185sSXvV+PcXrKD2ZpzJgc7D3vbyQ/oFSYIknEBBGHUjwfrY4zj1zD5YN2yw==" saltValue="40swo85QXOCT5a2o1iFzKQ==" spinCount="100000" sheet="1" objects="1" scenarios="1" selectLockedCells="1"/>
  <mergeCells count="51">
    <mergeCell ref="A4:B4"/>
    <mergeCell ref="A11:B11"/>
    <mergeCell ref="A30:B30"/>
    <mergeCell ref="U4:Y4"/>
    <mergeCell ref="M17:M18"/>
    <mergeCell ref="N17:Q18"/>
    <mergeCell ref="M5:S5"/>
    <mergeCell ref="N6:S6"/>
    <mergeCell ref="N7:S7"/>
    <mergeCell ref="N8:S8"/>
    <mergeCell ref="N9:S9"/>
    <mergeCell ref="M13:Q13"/>
    <mergeCell ref="N14:Q14"/>
    <mergeCell ref="M15:M16"/>
    <mergeCell ref="N15:Q16"/>
    <mergeCell ref="M19:M20"/>
    <mergeCell ref="N19:Q20"/>
    <mergeCell ref="M21:M22"/>
    <mergeCell ref="N21:Q22"/>
    <mergeCell ref="M23:M24"/>
    <mergeCell ref="N23:Q24"/>
    <mergeCell ref="N25:U29"/>
    <mergeCell ref="N31:U33"/>
    <mergeCell ref="M34:S34"/>
    <mergeCell ref="M35:P35"/>
    <mergeCell ref="Q35:S35"/>
    <mergeCell ref="M36:M39"/>
    <mergeCell ref="N36:P39"/>
    <mergeCell ref="R36:S36"/>
    <mergeCell ref="R37:S37"/>
    <mergeCell ref="R38:S38"/>
    <mergeCell ref="R39:S39"/>
    <mergeCell ref="M40:M43"/>
    <mergeCell ref="N40:P43"/>
    <mergeCell ref="R40:S40"/>
    <mergeCell ref="R41:S41"/>
    <mergeCell ref="R42:S42"/>
    <mergeCell ref="R43:S43"/>
    <mergeCell ref="M44:M47"/>
    <mergeCell ref="N44:P47"/>
    <mergeCell ref="R44:S44"/>
    <mergeCell ref="R45:S45"/>
    <mergeCell ref="R46:S46"/>
    <mergeCell ref="R47:S47"/>
    <mergeCell ref="N52:U54"/>
    <mergeCell ref="M48:M51"/>
    <mergeCell ref="N48:P51"/>
    <mergeCell ref="R48:S48"/>
    <mergeCell ref="R49:S49"/>
    <mergeCell ref="R50:S50"/>
    <mergeCell ref="R51:S51"/>
  </mergeCells>
  <phoneticPr fontId="1"/>
  <pageMargins left="0.70866141732283472" right="0.11811023622047245"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F375-D798-4087-9DCC-EF59D3430CCB}">
  <dimension ref="A1:AZ100"/>
  <sheetViews>
    <sheetView view="pageBreakPreview" topLeftCell="BC1" zoomScale="70" zoomScaleNormal="55" zoomScaleSheetLayoutView="70" workbookViewId="0">
      <selection sqref="A1:BB1048576"/>
    </sheetView>
  </sheetViews>
  <sheetFormatPr defaultRowHeight="18.75" x14ac:dyDescent="0.4"/>
  <cols>
    <col min="1" max="13" width="0" hidden="1" customWidth="1"/>
    <col min="14" max="14" width="6.875" hidden="1" customWidth="1"/>
    <col min="15" max="15" width="3.5" hidden="1" customWidth="1"/>
    <col min="16" max="16" width="5.75" hidden="1" customWidth="1"/>
    <col min="17" max="17" width="4.75" hidden="1" customWidth="1"/>
    <col min="18" max="18" width="6.625" hidden="1" customWidth="1"/>
    <col min="19" max="19" width="6.375" hidden="1" customWidth="1"/>
    <col min="20" max="20" width="4.875" hidden="1" customWidth="1"/>
    <col min="21" max="21" width="9" hidden="1" customWidth="1"/>
    <col min="22" max="22" width="3.75" hidden="1" customWidth="1"/>
    <col min="23" max="23" width="6" hidden="1" customWidth="1"/>
    <col min="24" max="24" width="10.875" hidden="1" customWidth="1"/>
    <col min="25" max="25" width="1.125" hidden="1" customWidth="1"/>
    <col min="26" max="26" width="4.875" hidden="1" customWidth="1"/>
    <col min="27" max="27" width="4.625" hidden="1" customWidth="1"/>
    <col min="28" max="28" width="0" hidden="1" customWidth="1"/>
    <col min="29" max="29" width="4" hidden="1" customWidth="1"/>
    <col min="30" max="30" width="5.375" hidden="1" customWidth="1"/>
    <col min="31" max="31" width="0" hidden="1" customWidth="1"/>
    <col min="32" max="32" width="1.375" hidden="1" customWidth="1"/>
    <col min="33" max="33" width="4.875" hidden="1" customWidth="1"/>
    <col min="34" max="34" width="4.625" hidden="1" customWidth="1"/>
    <col min="35" max="35" width="0" hidden="1" customWidth="1"/>
    <col min="36" max="36" width="4" hidden="1" customWidth="1"/>
    <col min="37" max="37" width="5.375" hidden="1" customWidth="1"/>
    <col min="38" max="38" width="0" hidden="1" customWidth="1"/>
    <col min="39" max="39" width="1.125" hidden="1" customWidth="1"/>
    <col min="40" max="40" width="4.875" hidden="1" customWidth="1"/>
    <col min="41" max="41" width="4.625" hidden="1" customWidth="1"/>
    <col min="42" max="42" width="0" hidden="1" customWidth="1"/>
    <col min="43" max="43" width="4" hidden="1" customWidth="1"/>
    <col min="44" max="44" width="5.375" hidden="1" customWidth="1"/>
    <col min="45" max="45" width="0" hidden="1" customWidth="1"/>
    <col min="46" max="46" width="1" hidden="1" customWidth="1"/>
    <col min="47" max="47" width="4.875" hidden="1" customWidth="1"/>
    <col min="48" max="48" width="4.625" hidden="1" customWidth="1"/>
    <col min="49" max="49" width="0" hidden="1" customWidth="1"/>
    <col min="50" max="50" width="4" hidden="1" customWidth="1"/>
    <col min="51" max="51" width="5.375" hidden="1" customWidth="1"/>
    <col min="52" max="54" width="0" hidden="1" customWidth="1"/>
  </cols>
  <sheetData>
    <row r="1" spans="1:52" x14ac:dyDescent="0.4">
      <c r="N1" t="s">
        <v>6</v>
      </c>
      <c r="Q1" t="s">
        <v>147</v>
      </c>
    </row>
    <row r="3" spans="1:52" x14ac:dyDescent="0.4">
      <c r="N3" s="418" t="s">
        <v>32</v>
      </c>
      <c r="O3" s="418"/>
      <c r="P3" s="418" t="s">
        <v>30</v>
      </c>
      <c r="Q3" s="418"/>
      <c r="R3" s="418"/>
      <c r="S3" s="418" t="s">
        <v>33</v>
      </c>
      <c r="T3" s="418"/>
      <c r="U3" s="418"/>
      <c r="V3" s="418"/>
      <c r="W3" s="418"/>
      <c r="X3" s="418"/>
      <c r="Z3" s="418" t="s">
        <v>83</v>
      </c>
      <c r="AA3" s="418"/>
      <c r="AB3" s="418"/>
      <c r="AC3" s="418"/>
      <c r="AD3" s="418"/>
      <c r="AE3" s="418"/>
      <c r="AG3" s="418" t="s">
        <v>134</v>
      </c>
      <c r="AH3" s="418"/>
      <c r="AI3" s="418"/>
      <c r="AJ3" s="418"/>
      <c r="AK3" s="418"/>
      <c r="AL3" s="418"/>
      <c r="AN3" s="418" t="s">
        <v>136</v>
      </c>
      <c r="AO3" s="418"/>
      <c r="AP3" s="418"/>
      <c r="AQ3" s="418"/>
      <c r="AR3" s="418"/>
      <c r="AS3" s="418"/>
      <c r="AU3" s="418" t="s">
        <v>280</v>
      </c>
      <c r="AV3" s="418"/>
      <c r="AW3" s="418"/>
      <c r="AX3" s="418"/>
      <c r="AY3" s="418"/>
      <c r="AZ3" s="418"/>
    </row>
    <row r="4" spans="1:52" x14ac:dyDescent="0.4">
      <c r="N4" s="418"/>
      <c r="O4" s="418"/>
      <c r="P4" s="418" t="s">
        <v>31</v>
      </c>
      <c r="Q4" s="418"/>
      <c r="R4" s="418"/>
      <c r="S4" s="418" t="s">
        <v>33</v>
      </c>
      <c r="T4" s="418"/>
      <c r="U4" s="418"/>
      <c r="V4" s="418"/>
      <c r="W4" s="418"/>
      <c r="X4" s="418"/>
      <c r="Z4" s="418" t="s">
        <v>83</v>
      </c>
      <c r="AA4" s="418"/>
      <c r="AB4" s="418"/>
      <c r="AC4" s="418"/>
      <c r="AD4" s="418"/>
      <c r="AE4" s="418"/>
      <c r="AG4" s="418" t="s">
        <v>83</v>
      </c>
      <c r="AH4" s="418"/>
      <c r="AI4" s="418"/>
      <c r="AJ4" s="418"/>
      <c r="AK4" s="418"/>
      <c r="AL4" s="418"/>
      <c r="AN4" s="418" t="s">
        <v>83</v>
      </c>
      <c r="AO4" s="418"/>
      <c r="AP4" s="418"/>
      <c r="AQ4" s="418"/>
      <c r="AR4" s="418"/>
      <c r="AS4" s="418"/>
      <c r="AU4" s="418" t="s">
        <v>281</v>
      </c>
      <c r="AV4" s="418"/>
      <c r="AW4" s="418"/>
      <c r="AX4" s="418"/>
      <c r="AY4" s="418"/>
      <c r="AZ4" s="418"/>
    </row>
    <row r="5" spans="1:52" x14ac:dyDescent="0.4">
      <c r="S5" t="s">
        <v>148</v>
      </c>
      <c r="V5" s="209">
        <v>1</v>
      </c>
      <c r="Z5" t="s">
        <v>149</v>
      </c>
      <c r="AC5" s="209">
        <v>3</v>
      </c>
      <c r="AG5" t="s">
        <v>150</v>
      </c>
      <c r="AJ5" s="209">
        <v>4</v>
      </c>
      <c r="AK5" s="208"/>
      <c r="AN5" t="s">
        <v>151</v>
      </c>
      <c r="AQ5" s="212">
        <v>5</v>
      </c>
      <c r="AU5" t="s">
        <v>284</v>
      </c>
      <c r="AX5" s="209">
        <v>2</v>
      </c>
    </row>
    <row r="6" spans="1:52" x14ac:dyDescent="0.4">
      <c r="M6" t="s">
        <v>40</v>
      </c>
      <c r="AU6" s="467"/>
      <c r="AV6" s="467"/>
      <c r="AW6" s="467"/>
      <c r="AX6" s="467"/>
      <c r="AY6" s="467"/>
      <c r="AZ6" s="467"/>
    </row>
    <row r="7" spans="1:52" ht="18.75" customHeight="1" x14ac:dyDescent="0.4">
      <c r="A7" s="3" t="s">
        <v>228</v>
      </c>
      <c r="B7" s="153">
        <f>一次エネ消費量表紙!AE20</f>
        <v>0.64</v>
      </c>
      <c r="D7" s="444" t="s">
        <v>255</v>
      </c>
      <c r="E7" s="445"/>
      <c r="F7" s="446"/>
      <c r="G7" s="3">
        <f>IF(G9&gt;0,1,0)</f>
        <v>1</v>
      </c>
      <c r="O7" s="80"/>
      <c r="P7" s="80"/>
      <c r="Q7" s="80"/>
      <c r="R7" s="80"/>
      <c r="S7" s="467" t="s">
        <v>166</v>
      </c>
      <c r="T7" s="467"/>
      <c r="U7" s="467"/>
      <c r="V7" s="467"/>
      <c r="W7" s="467"/>
      <c r="X7" s="467"/>
      <c r="Y7" s="80"/>
      <c r="Z7" s="467" t="s">
        <v>168</v>
      </c>
      <c r="AA7" s="467"/>
      <c r="AB7" s="467"/>
      <c r="AC7" s="467"/>
      <c r="AD7" s="467"/>
      <c r="AE7" s="467"/>
      <c r="AF7" s="80"/>
      <c r="AG7" s="467" t="s">
        <v>165</v>
      </c>
      <c r="AH7" s="467"/>
      <c r="AI7" s="467"/>
      <c r="AJ7" s="467"/>
      <c r="AK7" s="467"/>
      <c r="AL7" s="467"/>
      <c r="AM7" s="80"/>
      <c r="AN7" s="467" t="s">
        <v>165</v>
      </c>
      <c r="AO7" s="467"/>
      <c r="AP7" s="467"/>
      <c r="AQ7" s="467"/>
      <c r="AR7" s="467"/>
      <c r="AS7" s="467"/>
      <c r="AU7" s="467"/>
      <c r="AV7" s="467"/>
      <c r="AW7" s="467"/>
      <c r="AX7" s="467"/>
      <c r="AY7" s="467"/>
      <c r="AZ7" s="467"/>
    </row>
    <row r="8" spans="1:52" ht="18.75" customHeight="1" x14ac:dyDescent="0.4">
      <c r="A8" s="3" t="s">
        <v>204</v>
      </c>
      <c r="B8" s="152">
        <f>一次エネ消費量表紙!AE22</f>
        <v>2.1</v>
      </c>
      <c r="D8" s="444" t="s">
        <v>256</v>
      </c>
      <c r="E8" s="445"/>
      <c r="F8" s="446"/>
      <c r="G8" s="3">
        <f>IF(G10&gt;0,1,0)</f>
        <v>1</v>
      </c>
      <c r="O8" s="80"/>
      <c r="P8" s="80"/>
      <c r="Q8" s="80"/>
      <c r="R8" s="80"/>
      <c r="S8" s="467"/>
      <c r="T8" s="467"/>
      <c r="U8" s="467"/>
      <c r="V8" s="467"/>
      <c r="W8" s="467"/>
      <c r="X8" s="467"/>
      <c r="Y8" s="80"/>
      <c r="Z8" s="467"/>
      <c r="AA8" s="467"/>
      <c r="AB8" s="467"/>
      <c r="AC8" s="467"/>
      <c r="AD8" s="467"/>
      <c r="AE8" s="467"/>
      <c r="AF8" s="80"/>
      <c r="AG8" s="467"/>
      <c r="AH8" s="467"/>
      <c r="AI8" s="467"/>
      <c r="AJ8" s="467"/>
      <c r="AK8" s="467"/>
      <c r="AL8" s="467"/>
      <c r="AM8" s="80"/>
      <c r="AN8" s="467"/>
      <c r="AO8" s="467"/>
      <c r="AP8" s="467"/>
      <c r="AQ8" s="467"/>
      <c r="AR8" s="467"/>
      <c r="AS8" s="467"/>
      <c r="AU8" s="467"/>
      <c r="AV8" s="467"/>
      <c r="AW8" s="467"/>
      <c r="AX8" s="467"/>
      <c r="AY8" s="467"/>
      <c r="AZ8" s="467"/>
    </row>
    <row r="9" spans="1:52" ht="18.75" customHeight="1" x14ac:dyDescent="0.4">
      <c r="A9" s="3" t="s">
        <v>203</v>
      </c>
      <c r="B9" s="152">
        <f>一次エネ消費量表紙!AE21</f>
        <v>2.2000000000000002</v>
      </c>
      <c r="D9" s="418" t="s">
        <v>257</v>
      </c>
      <c r="E9" s="418"/>
      <c r="F9" s="418"/>
      <c r="G9" s="3">
        <f>B53</f>
        <v>26</v>
      </c>
      <c r="O9" s="80"/>
      <c r="P9" s="80"/>
      <c r="Q9" s="80"/>
      <c r="R9" s="80"/>
      <c r="S9" s="467"/>
      <c r="T9" s="467"/>
      <c r="U9" s="467"/>
      <c r="V9" s="467"/>
      <c r="W9" s="467"/>
      <c r="X9" s="467"/>
      <c r="Y9" s="80"/>
      <c r="Z9" s="467"/>
      <c r="AA9" s="467"/>
      <c r="AB9" s="467"/>
      <c r="AC9" s="467"/>
      <c r="AD9" s="467"/>
      <c r="AE9" s="467"/>
      <c r="AF9" s="80"/>
      <c r="AG9" s="467"/>
      <c r="AH9" s="467"/>
      <c r="AI9" s="467"/>
      <c r="AJ9" s="467"/>
      <c r="AK9" s="467"/>
      <c r="AL9" s="467"/>
      <c r="AM9" s="80"/>
      <c r="AN9" s="467"/>
      <c r="AO9" s="467"/>
      <c r="AP9" s="467"/>
      <c r="AQ9" s="467"/>
      <c r="AR9" s="467"/>
      <c r="AS9" s="467"/>
      <c r="AU9" s="467"/>
      <c r="AV9" s="467"/>
      <c r="AW9" s="467"/>
      <c r="AX9" s="467"/>
      <c r="AY9" s="467"/>
      <c r="AZ9" s="467"/>
    </row>
    <row r="10" spans="1:52" ht="18.75" customHeight="1" x14ac:dyDescent="0.4">
      <c r="A10" s="85" t="s">
        <v>243</v>
      </c>
      <c r="B10" s="3">
        <f>一次エネ消費量表紙!C15</f>
        <v>1</v>
      </c>
      <c r="D10" s="418" t="s">
        <v>258</v>
      </c>
      <c r="E10" s="418"/>
      <c r="F10" s="418"/>
      <c r="G10" s="3">
        <f>B99</f>
        <v>10</v>
      </c>
      <c r="O10" s="80"/>
      <c r="P10" s="80"/>
      <c r="Q10" s="80"/>
      <c r="R10" s="80"/>
      <c r="S10" s="467"/>
      <c r="T10" s="467"/>
      <c r="U10" s="467"/>
      <c r="V10" s="467"/>
      <c r="W10" s="467"/>
      <c r="X10" s="467"/>
      <c r="Y10" s="80"/>
      <c r="Z10" s="467"/>
      <c r="AA10" s="467"/>
      <c r="AB10" s="467"/>
      <c r="AC10" s="467"/>
      <c r="AD10" s="467"/>
      <c r="AE10" s="467"/>
      <c r="AF10" s="80"/>
      <c r="AG10" s="467"/>
      <c r="AH10" s="467"/>
      <c r="AI10" s="467"/>
      <c r="AJ10" s="467"/>
      <c r="AK10" s="467"/>
      <c r="AL10" s="467"/>
      <c r="AM10" s="80"/>
      <c r="AN10" s="467"/>
      <c r="AO10" s="467"/>
      <c r="AP10" s="467"/>
      <c r="AQ10" s="467"/>
      <c r="AR10" s="467"/>
      <c r="AS10" s="467"/>
      <c r="AU10" s="467"/>
      <c r="AV10" s="467"/>
      <c r="AW10" s="467"/>
      <c r="AX10" s="467"/>
      <c r="AY10" s="467"/>
      <c r="AZ10" s="467"/>
    </row>
    <row r="11" spans="1:52" ht="18.75" customHeight="1" x14ac:dyDescent="0.4">
      <c r="O11" s="80"/>
      <c r="P11" s="80"/>
      <c r="Q11" s="80"/>
      <c r="R11" s="80"/>
      <c r="S11" s="467"/>
      <c r="T11" s="467"/>
      <c r="U11" s="467"/>
      <c r="V11" s="467"/>
      <c r="W11" s="467"/>
      <c r="X11" s="467"/>
      <c r="Y11" s="80"/>
      <c r="Z11" s="467"/>
      <c r="AA11" s="467"/>
      <c r="AB11" s="467"/>
      <c r="AC11" s="467"/>
      <c r="AD11" s="467"/>
      <c r="AE11" s="467"/>
      <c r="AF11" s="80"/>
      <c r="AG11" s="467"/>
      <c r="AH11" s="467"/>
      <c r="AI11" s="467"/>
      <c r="AJ11" s="467"/>
      <c r="AK11" s="467"/>
      <c r="AL11" s="467"/>
      <c r="AM11" s="80"/>
      <c r="AN11" s="467"/>
      <c r="AO11" s="467"/>
      <c r="AP11" s="467"/>
      <c r="AQ11" s="467"/>
      <c r="AR11" s="467"/>
      <c r="AS11" s="467"/>
      <c r="AU11" s="467"/>
      <c r="AV11" s="467"/>
      <c r="AW11" s="467"/>
      <c r="AX11" s="467"/>
      <c r="AY11" s="467"/>
      <c r="AZ11" s="467"/>
    </row>
    <row r="12" spans="1:52" ht="18.75" customHeight="1" x14ac:dyDescent="0.4">
      <c r="B12" s="444" t="s">
        <v>231</v>
      </c>
      <c r="C12" s="445"/>
      <c r="D12" s="445"/>
      <c r="E12" s="445"/>
      <c r="F12" s="445"/>
      <c r="G12" s="445"/>
      <c r="H12" s="445"/>
      <c r="I12" s="445"/>
      <c r="J12" s="445"/>
      <c r="K12" s="12"/>
      <c r="O12" s="80"/>
      <c r="P12" s="80"/>
      <c r="Q12" s="80"/>
      <c r="R12" s="80"/>
      <c r="S12" s="467"/>
      <c r="T12" s="467"/>
      <c r="U12" s="467"/>
      <c r="V12" s="467"/>
      <c r="W12" s="467"/>
      <c r="X12" s="467"/>
      <c r="Y12" s="80"/>
      <c r="Z12" s="467"/>
      <c r="AA12" s="467"/>
      <c r="AB12" s="467"/>
      <c r="AC12" s="467"/>
      <c r="AD12" s="467"/>
      <c r="AE12" s="467"/>
      <c r="AF12" s="80"/>
      <c r="AG12" s="467"/>
      <c r="AH12" s="467"/>
      <c r="AI12" s="467"/>
      <c r="AJ12" s="467"/>
      <c r="AK12" s="467"/>
      <c r="AL12" s="467"/>
      <c r="AM12" s="80"/>
      <c r="AN12" s="467"/>
      <c r="AO12" s="467"/>
      <c r="AP12" s="467"/>
      <c r="AQ12" s="467"/>
      <c r="AR12" s="467"/>
      <c r="AS12" s="467"/>
      <c r="AU12" s="467"/>
      <c r="AV12" s="467"/>
      <c r="AW12" s="467"/>
      <c r="AX12" s="467"/>
      <c r="AY12" s="467"/>
      <c r="AZ12" s="467"/>
    </row>
    <row r="13" spans="1:52" ht="19.5" thickBot="1" x14ac:dyDescent="0.45">
      <c r="B13" s="451" t="s">
        <v>235</v>
      </c>
      <c r="C13" s="452"/>
      <c r="D13" s="454" t="s">
        <v>45</v>
      </c>
      <c r="E13" s="454" t="s">
        <v>204</v>
      </c>
      <c r="F13" s="444" t="s">
        <v>44</v>
      </c>
      <c r="G13" s="445"/>
      <c r="H13" s="445"/>
      <c r="I13" s="445"/>
      <c r="J13" s="445"/>
      <c r="K13" s="12"/>
      <c r="N13" s="81"/>
      <c r="O13" s="81"/>
      <c r="P13" s="81"/>
      <c r="Q13" s="81"/>
      <c r="R13" s="81"/>
      <c r="S13" s="468"/>
      <c r="T13" s="468"/>
      <c r="U13" s="468"/>
      <c r="V13" s="468"/>
      <c r="W13" s="468"/>
      <c r="X13" s="468"/>
      <c r="Y13" s="81"/>
      <c r="Z13" s="468"/>
      <c r="AA13" s="468"/>
      <c r="AB13" s="468"/>
      <c r="AC13" s="468"/>
      <c r="AD13" s="468"/>
      <c r="AE13" s="468"/>
      <c r="AF13" s="81"/>
      <c r="AG13" s="468"/>
      <c r="AH13" s="468"/>
      <c r="AI13" s="468"/>
      <c r="AJ13" s="468"/>
      <c r="AK13" s="468"/>
      <c r="AL13" s="468"/>
      <c r="AM13" s="81"/>
      <c r="AN13" s="468"/>
      <c r="AO13" s="468"/>
      <c r="AP13" s="468"/>
      <c r="AQ13" s="468"/>
      <c r="AR13" s="468"/>
      <c r="AS13" s="468"/>
      <c r="AU13" s="468"/>
      <c r="AV13" s="468"/>
      <c r="AW13" s="468"/>
      <c r="AX13" s="468"/>
      <c r="AY13" s="468"/>
      <c r="AZ13" s="468"/>
    </row>
    <row r="14" spans="1:52" ht="19.5" thickBot="1" x14ac:dyDescent="0.45">
      <c r="A14" s="3" t="s">
        <v>244</v>
      </c>
      <c r="B14" s="41" t="s">
        <v>44</v>
      </c>
      <c r="C14" s="42" t="s">
        <v>242</v>
      </c>
      <c r="D14" s="455"/>
      <c r="E14" s="455"/>
      <c r="F14" s="211">
        <v>1</v>
      </c>
      <c r="G14" s="211">
        <v>2</v>
      </c>
      <c r="H14" s="211">
        <v>3</v>
      </c>
      <c r="I14" s="211">
        <v>4</v>
      </c>
      <c r="J14" s="211">
        <v>5</v>
      </c>
      <c r="N14" s="460" t="s">
        <v>41</v>
      </c>
      <c r="O14" s="461"/>
      <c r="P14" s="461"/>
      <c r="Q14" s="461"/>
      <c r="R14" s="461"/>
      <c r="S14" s="461" t="s">
        <v>34</v>
      </c>
      <c r="T14" s="461"/>
      <c r="U14" s="461"/>
      <c r="V14" s="461"/>
      <c r="W14" s="461"/>
      <c r="X14" s="55" t="s">
        <v>44</v>
      </c>
      <c r="Y14" s="50"/>
      <c r="Z14" s="461" t="s">
        <v>34</v>
      </c>
      <c r="AA14" s="461"/>
      <c r="AB14" s="461"/>
      <c r="AC14" s="461"/>
      <c r="AD14" s="461"/>
      <c r="AE14" s="55" t="s">
        <v>44</v>
      </c>
      <c r="AF14" s="50"/>
      <c r="AG14" s="461" t="s">
        <v>34</v>
      </c>
      <c r="AH14" s="461"/>
      <c r="AI14" s="461"/>
      <c r="AJ14" s="461"/>
      <c r="AK14" s="461"/>
      <c r="AL14" s="55" t="s">
        <v>44</v>
      </c>
      <c r="AM14" s="50"/>
      <c r="AN14" s="461" t="s">
        <v>34</v>
      </c>
      <c r="AO14" s="461"/>
      <c r="AP14" s="461"/>
      <c r="AQ14" s="461"/>
      <c r="AR14" s="461"/>
      <c r="AS14" s="56" t="s">
        <v>44</v>
      </c>
      <c r="AU14" s="461" t="s">
        <v>34</v>
      </c>
      <c r="AV14" s="461"/>
      <c r="AW14" s="461"/>
      <c r="AX14" s="461"/>
      <c r="AY14" s="461"/>
      <c r="AZ14" s="56" t="s">
        <v>44</v>
      </c>
    </row>
    <row r="15" spans="1:52" x14ac:dyDescent="0.4">
      <c r="A15" s="38">
        <v>1</v>
      </c>
      <c r="B15" s="166">
        <f t="shared" ref="B15:B52" si="0">IF(C15=1,INDEX(暖房設備配列6地域,A15,暖房方式番号Z),0)</f>
        <v>26</v>
      </c>
      <c r="C15" s="37">
        <f t="shared" ref="C15:C25" si="1">IF(AND(D15=1,E15=1),1,0)</f>
        <v>1</v>
      </c>
      <c r="D15" s="40">
        <f>IF(UA値z&lt;=R15,1,0)</f>
        <v>1</v>
      </c>
      <c r="E15" s="40">
        <f>IF(AND(S15&lt;=ηAH,ηAH&lt;W15),1,0)</f>
        <v>1</v>
      </c>
      <c r="F15" s="154">
        <f>IF(E15=1,X15,0)</f>
        <v>26</v>
      </c>
      <c r="G15" s="155">
        <f t="shared" ref="G15:G52" si="2">IF(E15=1,AE15,0)</f>
        <v>27</v>
      </c>
      <c r="H15" s="155">
        <f t="shared" ref="H15:H52" si="3">IF(E15=1,AL15,0)</f>
        <v>36</v>
      </c>
      <c r="I15" s="155">
        <f t="shared" ref="I15:I52" si="4">IF(E15=1,AS15,0)</f>
        <v>36</v>
      </c>
      <c r="J15" s="156">
        <f t="shared" ref="J15:J52" si="5">IF(E15=1,AZ15,0)</f>
        <v>0</v>
      </c>
      <c r="N15" s="458"/>
      <c r="O15" s="459"/>
      <c r="P15" s="459" t="s">
        <v>45</v>
      </c>
      <c r="Q15" s="459" t="s">
        <v>42</v>
      </c>
      <c r="R15" s="465">
        <v>0.69</v>
      </c>
      <c r="S15" s="57">
        <v>1.8</v>
      </c>
      <c r="T15" s="47" t="s">
        <v>42</v>
      </c>
      <c r="U15" s="47" t="s">
        <v>43</v>
      </c>
      <c r="V15" s="47" t="s">
        <v>46</v>
      </c>
      <c r="W15" s="58">
        <v>2.2999999999999998</v>
      </c>
      <c r="X15" s="59">
        <v>26</v>
      </c>
      <c r="Y15" s="60"/>
      <c r="Z15" s="57"/>
      <c r="AA15" s="47"/>
      <c r="AB15" s="47"/>
      <c r="AC15" s="47"/>
      <c r="AD15" s="58"/>
      <c r="AE15" s="59">
        <v>27</v>
      </c>
      <c r="AF15" s="60"/>
      <c r="AG15" s="57"/>
      <c r="AH15" s="47"/>
      <c r="AI15" s="47"/>
      <c r="AJ15" s="47"/>
      <c r="AK15" s="58"/>
      <c r="AL15" s="59">
        <v>36</v>
      </c>
      <c r="AM15" s="60"/>
      <c r="AN15" s="57"/>
      <c r="AO15" s="47"/>
      <c r="AP15" s="47"/>
      <c r="AQ15" s="47"/>
      <c r="AR15" s="58"/>
      <c r="AS15" s="61">
        <v>36</v>
      </c>
      <c r="AU15" s="57"/>
      <c r="AV15" s="47"/>
      <c r="AW15" s="47"/>
      <c r="AX15" s="47"/>
      <c r="AY15" s="58"/>
      <c r="AZ15" s="61">
        <v>0</v>
      </c>
    </row>
    <row r="16" spans="1:52" x14ac:dyDescent="0.4">
      <c r="A16" s="12">
        <f>A15+1</f>
        <v>2</v>
      </c>
      <c r="B16" s="167">
        <f t="shared" si="0"/>
        <v>0</v>
      </c>
      <c r="C16" s="1">
        <f t="shared" si="1"/>
        <v>0</v>
      </c>
      <c r="D16" s="41">
        <f>D15</f>
        <v>1</v>
      </c>
      <c r="E16" s="41">
        <f t="shared" ref="E16:E49" si="6">IF(AND(S16&lt;=ηAH,ηAH&lt;W16),1,0)</f>
        <v>0</v>
      </c>
      <c r="F16" s="157">
        <f>IF(E16=1,X16,0)</f>
        <v>0</v>
      </c>
      <c r="G16" s="158">
        <f t="shared" si="2"/>
        <v>0</v>
      </c>
      <c r="H16" s="158">
        <f t="shared" si="3"/>
        <v>0</v>
      </c>
      <c r="I16" s="158">
        <f t="shared" si="4"/>
        <v>0</v>
      </c>
      <c r="J16" s="159">
        <f t="shared" si="5"/>
        <v>0</v>
      </c>
      <c r="N16" s="456"/>
      <c r="O16" s="457"/>
      <c r="P16" s="457"/>
      <c r="Q16" s="457"/>
      <c r="R16" s="462"/>
      <c r="S16" s="53">
        <v>2.2999999999999998</v>
      </c>
      <c r="T16" s="7" t="s">
        <v>42</v>
      </c>
      <c r="U16" s="7" t="s">
        <v>43</v>
      </c>
      <c r="V16" s="7" t="s">
        <v>46</v>
      </c>
      <c r="W16" s="52">
        <v>2.8</v>
      </c>
      <c r="X16" s="3">
        <v>24</v>
      </c>
      <c r="Z16" s="53"/>
      <c r="AA16" s="7"/>
      <c r="AB16" s="7"/>
      <c r="AC16" s="7"/>
      <c r="AD16" s="52"/>
      <c r="AE16" s="3">
        <v>25</v>
      </c>
      <c r="AG16" s="53"/>
      <c r="AH16" s="7"/>
      <c r="AI16" s="7"/>
      <c r="AJ16" s="7"/>
      <c r="AK16" s="52"/>
      <c r="AL16" s="3">
        <v>34</v>
      </c>
      <c r="AN16" s="53"/>
      <c r="AO16" s="7"/>
      <c r="AP16" s="7"/>
      <c r="AQ16" s="7"/>
      <c r="AR16" s="52"/>
      <c r="AS16" s="62">
        <v>34</v>
      </c>
      <c r="AU16" s="53"/>
      <c r="AV16" s="7"/>
      <c r="AW16" s="7"/>
      <c r="AX16" s="7"/>
      <c r="AY16" s="52"/>
      <c r="AZ16" s="62">
        <v>0</v>
      </c>
    </row>
    <row r="17" spans="1:52" x14ac:dyDescent="0.4">
      <c r="A17" s="12">
        <f t="shared" ref="A17:A52" si="7">A16+1</f>
        <v>3</v>
      </c>
      <c r="B17" s="167">
        <f t="shared" si="0"/>
        <v>0</v>
      </c>
      <c r="C17" s="1">
        <f t="shared" si="1"/>
        <v>0</v>
      </c>
      <c r="D17" s="41">
        <f>D15</f>
        <v>1</v>
      </c>
      <c r="E17" s="41">
        <f t="shared" si="6"/>
        <v>0</v>
      </c>
      <c r="F17" s="157">
        <f t="shared" ref="F17:F52" si="8">IF(E17=1,X17,0)</f>
        <v>0</v>
      </c>
      <c r="G17" s="158">
        <f t="shared" si="2"/>
        <v>0</v>
      </c>
      <c r="H17" s="158">
        <f t="shared" si="3"/>
        <v>0</v>
      </c>
      <c r="I17" s="158">
        <f t="shared" si="4"/>
        <v>0</v>
      </c>
      <c r="J17" s="159">
        <f t="shared" si="5"/>
        <v>0</v>
      </c>
      <c r="N17" s="456"/>
      <c r="O17" s="457"/>
      <c r="P17" s="457"/>
      <c r="Q17" s="457"/>
      <c r="R17" s="462"/>
      <c r="S17" s="53">
        <v>2.8</v>
      </c>
      <c r="T17" s="7" t="s">
        <v>42</v>
      </c>
      <c r="U17" s="7" t="s">
        <v>43</v>
      </c>
      <c r="V17" s="7" t="s">
        <v>46</v>
      </c>
      <c r="W17" s="52">
        <v>3.3</v>
      </c>
      <c r="X17" s="3">
        <v>23</v>
      </c>
      <c r="Z17" s="53"/>
      <c r="AA17" s="7"/>
      <c r="AB17" s="7"/>
      <c r="AC17" s="7"/>
      <c r="AD17" s="52"/>
      <c r="AE17" s="3">
        <v>24</v>
      </c>
      <c r="AG17" s="53"/>
      <c r="AH17" s="7"/>
      <c r="AI17" s="7"/>
      <c r="AJ17" s="7"/>
      <c r="AK17" s="52"/>
      <c r="AL17" s="3">
        <v>31</v>
      </c>
      <c r="AN17" s="53"/>
      <c r="AO17" s="7"/>
      <c r="AP17" s="7"/>
      <c r="AQ17" s="7"/>
      <c r="AR17" s="52"/>
      <c r="AS17" s="62">
        <v>31</v>
      </c>
      <c r="AU17" s="53"/>
      <c r="AV17" s="7"/>
      <c r="AW17" s="7"/>
      <c r="AX17" s="7"/>
      <c r="AY17" s="52"/>
      <c r="AZ17" s="62">
        <v>0</v>
      </c>
    </row>
    <row r="18" spans="1:52" x14ac:dyDescent="0.4">
      <c r="A18" s="12">
        <f t="shared" si="7"/>
        <v>4</v>
      </c>
      <c r="B18" s="167">
        <f t="shared" si="0"/>
        <v>0</v>
      </c>
      <c r="C18" s="1">
        <f t="shared" si="1"/>
        <v>0</v>
      </c>
      <c r="D18" s="41">
        <f>D15</f>
        <v>1</v>
      </c>
      <c r="E18" s="41">
        <f t="shared" si="6"/>
        <v>0</v>
      </c>
      <c r="F18" s="157">
        <f t="shared" si="8"/>
        <v>0</v>
      </c>
      <c r="G18" s="158">
        <f t="shared" si="2"/>
        <v>0</v>
      </c>
      <c r="H18" s="158">
        <f t="shared" si="3"/>
        <v>0</v>
      </c>
      <c r="I18" s="158">
        <f t="shared" si="4"/>
        <v>0</v>
      </c>
      <c r="J18" s="159">
        <f t="shared" si="5"/>
        <v>0</v>
      </c>
      <c r="N18" s="456"/>
      <c r="O18" s="457"/>
      <c r="P18" s="457"/>
      <c r="Q18" s="457"/>
      <c r="R18" s="462"/>
      <c r="S18" s="53">
        <v>3.3</v>
      </c>
      <c r="T18" s="7" t="s">
        <v>42</v>
      </c>
      <c r="U18" s="7" t="s">
        <v>43</v>
      </c>
      <c r="V18" s="7" t="s">
        <v>46</v>
      </c>
      <c r="W18" s="52">
        <v>3.8</v>
      </c>
      <c r="X18" s="3">
        <v>22</v>
      </c>
      <c r="Z18" s="53"/>
      <c r="AA18" s="7"/>
      <c r="AB18" s="7"/>
      <c r="AC18" s="7"/>
      <c r="AD18" s="52"/>
      <c r="AE18" s="3">
        <v>23</v>
      </c>
      <c r="AG18" s="53"/>
      <c r="AH18" s="7"/>
      <c r="AI18" s="7"/>
      <c r="AJ18" s="7"/>
      <c r="AK18" s="52"/>
      <c r="AL18" s="3">
        <v>29</v>
      </c>
      <c r="AN18" s="53"/>
      <c r="AO18" s="7"/>
      <c r="AP18" s="7"/>
      <c r="AQ18" s="7"/>
      <c r="AR18" s="52"/>
      <c r="AS18" s="62">
        <v>28</v>
      </c>
      <c r="AU18" s="53"/>
      <c r="AV18" s="7"/>
      <c r="AW18" s="7"/>
      <c r="AX18" s="7"/>
      <c r="AY18" s="52"/>
      <c r="AZ18" s="62">
        <v>0</v>
      </c>
    </row>
    <row r="19" spans="1:52" x14ac:dyDescent="0.4">
      <c r="A19" s="12">
        <f t="shared" si="7"/>
        <v>5</v>
      </c>
      <c r="B19" s="167">
        <f t="shared" si="0"/>
        <v>0</v>
      </c>
      <c r="C19" s="1">
        <f t="shared" si="1"/>
        <v>0</v>
      </c>
      <c r="D19" s="41">
        <f>D15</f>
        <v>1</v>
      </c>
      <c r="E19" s="41">
        <f t="shared" si="6"/>
        <v>0</v>
      </c>
      <c r="F19" s="157">
        <f t="shared" si="8"/>
        <v>0</v>
      </c>
      <c r="G19" s="158">
        <f t="shared" si="2"/>
        <v>0</v>
      </c>
      <c r="H19" s="158">
        <f t="shared" si="3"/>
        <v>0</v>
      </c>
      <c r="I19" s="158">
        <f t="shared" si="4"/>
        <v>0</v>
      </c>
      <c r="J19" s="159">
        <f t="shared" si="5"/>
        <v>0</v>
      </c>
      <c r="N19" s="456"/>
      <c r="O19" s="457"/>
      <c r="P19" s="457"/>
      <c r="Q19" s="457"/>
      <c r="R19" s="462"/>
      <c r="S19" s="53">
        <v>3.8</v>
      </c>
      <c r="T19" s="7" t="s">
        <v>42</v>
      </c>
      <c r="U19" s="7" t="s">
        <v>43</v>
      </c>
      <c r="V19" s="7" t="s">
        <v>46</v>
      </c>
      <c r="W19" s="52">
        <v>4.3</v>
      </c>
      <c r="X19" s="3">
        <v>21</v>
      </c>
      <c r="Z19" s="53"/>
      <c r="AA19" s="7"/>
      <c r="AB19" s="7"/>
      <c r="AC19" s="7"/>
      <c r="AD19" s="52"/>
      <c r="AE19" s="3">
        <v>22</v>
      </c>
      <c r="AG19" s="53"/>
      <c r="AH19" s="7"/>
      <c r="AI19" s="7"/>
      <c r="AJ19" s="7"/>
      <c r="AK19" s="52"/>
      <c r="AL19" s="3">
        <v>27</v>
      </c>
      <c r="AN19" s="53"/>
      <c r="AO19" s="7"/>
      <c r="AP19" s="7"/>
      <c r="AQ19" s="7"/>
      <c r="AR19" s="52"/>
      <c r="AS19" s="62">
        <v>26</v>
      </c>
      <c r="AU19" s="53"/>
      <c r="AV19" s="7"/>
      <c r="AW19" s="7"/>
      <c r="AX19" s="7"/>
      <c r="AY19" s="52"/>
      <c r="AZ19" s="62">
        <v>0</v>
      </c>
    </row>
    <row r="20" spans="1:52" ht="19.5" thickBot="1" x14ac:dyDescent="0.45">
      <c r="A20" s="12">
        <f t="shared" si="7"/>
        <v>6</v>
      </c>
      <c r="B20" s="167">
        <f t="shared" si="0"/>
        <v>0</v>
      </c>
      <c r="C20" s="43">
        <f t="shared" si="1"/>
        <v>0</v>
      </c>
      <c r="D20" s="42">
        <f>D15</f>
        <v>1</v>
      </c>
      <c r="E20" s="42">
        <f>IF(S20&lt;=ηAH,1,0)</f>
        <v>0</v>
      </c>
      <c r="F20" s="160">
        <f t="shared" si="8"/>
        <v>0</v>
      </c>
      <c r="G20" s="161">
        <f t="shared" si="2"/>
        <v>0</v>
      </c>
      <c r="H20" s="161">
        <f t="shared" si="3"/>
        <v>0</v>
      </c>
      <c r="I20" s="161">
        <f t="shared" si="4"/>
        <v>0</v>
      </c>
      <c r="J20" s="162">
        <f t="shared" si="5"/>
        <v>0</v>
      </c>
      <c r="N20" s="463"/>
      <c r="O20" s="464"/>
      <c r="P20" s="464"/>
      <c r="Q20" s="464"/>
      <c r="R20" s="466"/>
      <c r="S20" s="63">
        <v>4.3</v>
      </c>
      <c r="T20" s="48" t="s">
        <v>42</v>
      </c>
      <c r="U20" s="48" t="s">
        <v>43</v>
      </c>
      <c r="V20" s="48"/>
      <c r="W20" s="64"/>
      <c r="X20" s="65">
        <v>18</v>
      </c>
      <c r="Y20" s="46"/>
      <c r="Z20" s="63"/>
      <c r="AA20" s="48"/>
      <c r="AB20" s="48"/>
      <c r="AC20" s="48"/>
      <c r="AD20" s="64"/>
      <c r="AE20" s="65">
        <v>19</v>
      </c>
      <c r="AF20" s="46"/>
      <c r="AG20" s="63"/>
      <c r="AH20" s="48"/>
      <c r="AI20" s="48"/>
      <c r="AJ20" s="48"/>
      <c r="AK20" s="64"/>
      <c r="AL20" s="65">
        <v>24</v>
      </c>
      <c r="AM20" s="46"/>
      <c r="AN20" s="63"/>
      <c r="AO20" s="48"/>
      <c r="AP20" s="48"/>
      <c r="AQ20" s="48"/>
      <c r="AR20" s="64"/>
      <c r="AS20" s="66">
        <v>24</v>
      </c>
      <c r="AU20" s="63"/>
      <c r="AV20" s="48"/>
      <c r="AW20" s="48"/>
      <c r="AX20" s="48"/>
      <c r="AY20" s="64"/>
      <c r="AZ20" s="66">
        <v>0</v>
      </c>
    </row>
    <row r="21" spans="1:52" x14ac:dyDescent="0.4">
      <c r="A21" s="12">
        <f t="shared" si="7"/>
        <v>7</v>
      </c>
      <c r="B21" s="167">
        <f t="shared" si="0"/>
        <v>0</v>
      </c>
      <c r="C21" s="37">
        <f t="shared" si="1"/>
        <v>0</v>
      </c>
      <c r="D21" s="40">
        <f>IF(AND(N21&lt;UA値z,UA値z&lt;=R21),1,0)</f>
        <v>0</v>
      </c>
      <c r="E21" s="40">
        <f>IF(AND(S21&lt;=ηAH,ηAH&lt;W21),1,0)</f>
        <v>1</v>
      </c>
      <c r="F21" s="154">
        <f t="shared" si="8"/>
        <v>28</v>
      </c>
      <c r="G21" s="155">
        <f t="shared" si="2"/>
        <v>29</v>
      </c>
      <c r="H21" s="155">
        <f t="shared" si="3"/>
        <v>40</v>
      </c>
      <c r="I21" s="155">
        <f t="shared" si="4"/>
        <v>40</v>
      </c>
      <c r="J21" s="156">
        <f t="shared" si="5"/>
        <v>0</v>
      </c>
      <c r="N21" s="458">
        <v>0.69</v>
      </c>
      <c r="O21" s="459" t="s">
        <v>46</v>
      </c>
      <c r="P21" s="459" t="s">
        <v>45</v>
      </c>
      <c r="Q21" s="459" t="s">
        <v>42</v>
      </c>
      <c r="R21" s="465">
        <v>0.78</v>
      </c>
      <c r="S21" s="57">
        <v>1.8</v>
      </c>
      <c r="T21" s="47" t="s">
        <v>42</v>
      </c>
      <c r="U21" s="47" t="s">
        <v>43</v>
      </c>
      <c r="V21" s="47" t="s">
        <v>46</v>
      </c>
      <c r="W21" s="58">
        <v>2.2999999999999998</v>
      </c>
      <c r="X21" s="59">
        <v>28</v>
      </c>
      <c r="Y21" s="60"/>
      <c r="Z21" s="57"/>
      <c r="AA21" s="47"/>
      <c r="AB21" s="47"/>
      <c r="AC21" s="47"/>
      <c r="AD21" s="58"/>
      <c r="AE21" s="59">
        <v>29</v>
      </c>
      <c r="AF21" s="60"/>
      <c r="AG21" s="57"/>
      <c r="AH21" s="47"/>
      <c r="AI21" s="47"/>
      <c r="AJ21" s="47"/>
      <c r="AK21" s="58"/>
      <c r="AL21" s="59">
        <v>40</v>
      </c>
      <c r="AM21" s="60"/>
      <c r="AN21" s="57"/>
      <c r="AO21" s="47"/>
      <c r="AP21" s="47"/>
      <c r="AQ21" s="47"/>
      <c r="AR21" s="58"/>
      <c r="AS21" s="61">
        <v>40</v>
      </c>
      <c r="AU21" s="57"/>
      <c r="AV21" s="47"/>
      <c r="AW21" s="47"/>
      <c r="AX21" s="47"/>
      <c r="AY21" s="58"/>
      <c r="AZ21" s="61">
        <v>0</v>
      </c>
    </row>
    <row r="22" spans="1:52" x14ac:dyDescent="0.4">
      <c r="A22" s="12">
        <f t="shared" si="7"/>
        <v>8</v>
      </c>
      <c r="B22" s="167">
        <f t="shared" si="0"/>
        <v>0</v>
      </c>
      <c r="C22" s="1">
        <f t="shared" si="1"/>
        <v>0</v>
      </c>
      <c r="D22" s="41">
        <f>D21</f>
        <v>0</v>
      </c>
      <c r="E22" s="41">
        <f t="shared" si="6"/>
        <v>0</v>
      </c>
      <c r="F22" s="157">
        <f t="shared" si="8"/>
        <v>0</v>
      </c>
      <c r="G22" s="158">
        <f t="shared" si="2"/>
        <v>0</v>
      </c>
      <c r="H22" s="158">
        <f t="shared" si="3"/>
        <v>0</v>
      </c>
      <c r="I22" s="158">
        <f t="shared" si="4"/>
        <v>0</v>
      </c>
      <c r="J22" s="159">
        <f t="shared" si="5"/>
        <v>0</v>
      </c>
      <c r="N22" s="456"/>
      <c r="O22" s="457"/>
      <c r="P22" s="457"/>
      <c r="Q22" s="457"/>
      <c r="R22" s="462"/>
      <c r="S22" s="53">
        <v>2.2999999999999998</v>
      </c>
      <c r="T22" s="7" t="s">
        <v>42</v>
      </c>
      <c r="U22" s="7" t="s">
        <v>43</v>
      </c>
      <c r="V22" s="7" t="s">
        <v>46</v>
      </c>
      <c r="W22" s="52">
        <v>2.8</v>
      </c>
      <c r="X22" s="3">
        <v>27</v>
      </c>
      <c r="Z22" s="53"/>
      <c r="AA22" s="7"/>
      <c r="AB22" s="7"/>
      <c r="AC22" s="7"/>
      <c r="AD22" s="52"/>
      <c r="AE22" s="3">
        <v>28</v>
      </c>
      <c r="AG22" s="53"/>
      <c r="AH22" s="7"/>
      <c r="AI22" s="7"/>
      <c r="AJ22" s="7"/>
      <c r="AK22" s="52"/>
      <c r="AL22" s="3">
        <v>37</v>
      </c>
      <c r="AN22" s="53"/>
      <c r="AO22" s="7"/>
      <c r="AP22" s="7"/>
      <c r="AQ22" s="7"/>
      <c r="AR22" s="52"/>
      <c r="AS22" s="62">
        <v>37</v>
      </c>
      <c r="AU22" s="53"/>
      <c r="AV22" s="7"/>
      <c r="AW22" s="7"/>
      <c r="AX22" s="7"/>
      <c r="AY22" s="52"/>
      <c r="AZ22" s="62">
        <v>0</v>
      </c>
    </row>
    <row r="23" spans="1:52" x14ac:dyDescent="0.4">
      <c r="A23" s="12">
        <f t="shared" si="7"/>
        <v>9</v>
      </c>
      <c r="B23" s="167">
        <f t="shared" si="0"/>
        <v>0</v>
      </c>
      <c r="C23" s="1">
        <f t="shared" si="1"/>
        <v>0</v>
      </c>
      <c r="D23" s="41">
        <f>D21</f>
        <v>0</v>
      </c>
      <c r="E23" s="41">
        <f t="shared" si="6"/>
        <v>0</v>
      </c>
      <c r="F23" s="157">
        <f t="shared" si="8"/>
        <v>0</v>
      </c>
      <c r="G23" s="158">
        <f t="shared" si="2"/>
        <v>0</v>
      </c>
      <c r="H23" s="158">
        <f t="shared" si="3"/>
        <v>0</v>
      </c>
      <c r="I23" s="158">
        <f t="shared" si="4"/>
        <v>0</v>
      </c>
      <c r="J23" s="159">
        <f t="shared" si="5"/>
        <v>0</v>
      </c>
      <c r="N23" s="456"/>
      <c r="O23" s="457"/>
      <c r="P23" s="457"/>
      <c r="Q23" s="457"/>
      <c r="R23" s="462"/>
      <c r="S23" s="53">
        <v>2.8</v>
      </c>
      <c r="T23" s="7" t="s">
        <v>42</v>
      </c>
      <c r="U23" s="7" t="s">
        <v>43</v>
      </c>
      <c r="V23" s="7" t="s">
        <v>46</v>
      </c>
      <c r="W23" s="52">
        <v>3.3</v>
      </c>
      <c r="X23" s="3">
        <v>25</v>
      </c>
      <c r="Z23" s="53"/>
      <c r="AA23" s="7"/>
      <c r="AB23" s="7"/>
      <c r="AC23" s="7"/>
      <c r="AD23" s="52"/>
      <c r="AE23" s="3">
        <v>26</v>
      </c>
      <c r="AG23" s="53"/>
      <c r="AH23" s="7"/>
      <c r="AI23" s="7"/>
      <c r="AJ23" s="7"/>
      <c r="AK23" s="52"/>
      <c r="AL23" s="3">
        <v>35</v>
      </c>
      <c r="AN23" s="53"/>
      <c r="AO23" s="7"/>
      <c r="AP23" s="7"/>
      <c r="AQ23" s="7"/>
      <c r="AR23" s="52"/>
      <c r="AS23" s="62">
        <v>35</v>
      </c>
      <c r="AU23" s="53"/>
      <c r="AV23" s="7"/>
      <c r="AW23" s="7"/>
      <c r="AX23" s="7"/>
      <c r="AY23" s="52"/>
      <c r="AZ23" s="62">
        <v>0</v>
      </c>
    </row>
    <row r="24" spans="1:52" x14ac:dyDescent="0.4">
      <c r="A24" s="12">
        <f t="shared" si="7"/>
        <v>10</v>
      </c>
      <c r="B24" s="167">
        <f t="shared" si="0"/>
        <v>0</v>
      </c>
      <c r="C24" s="1">
        <f t="shared" si="1"/>
        <v>0</v>
      </c>
      <c r="D24" s="41">
        <f>D21</f>
        <v>0</v>
      </c>
      <c r="E24" s="41">
        <f t="shared" si="6"/>
        <v>0</v>
      </c>
      <c r="F24" s="157">
        <f t="shared" si="8"/>
        <v>0</v>
      </c>
      <c r="G24" s="158">
        <f t="shared" si="2"/>
        <v>0</v>
      </c>
      <c r="H24" s="158">
        <f t="shared" si="3"/>
        <v>0</v>
      </c>
      <c r="I24" s="158">
        <f t="shared" si="4"/>
        <v>0</v>
      </c>
      <c r="J24" s="159">
        <f t="shared" si="5"/>
        <v>0</v>
      </c>
      <c r="N24" s="456"/>
      <c r="O24" s="457"/>
      <c r="P24" s="457"/>
      <c r="Q24" s="457"/>
      <c r="R24" s="462"/>
      <c r="S24" s="53">
        <v>3.3</v>
      </c>
      <c r="T24" s="7" t="s">
        <v>42</v>
      </c>
      <c r="U24" s="7" t="s">
        <v>43</v>
      </c>
      <c r="V24" s="7" t="s">
        <v>46</v>
      </c>
      <c r="W24" s="52">
        <v>3.8</v>
      </c>
      <c r="X24" s="3">
        <v>24</v>
      </c>
      <c r="Z24" s="53"/>
      <c r="AA24" s="7"/>
      <c r="AB24" s="7"/>
      <c r="AC24" s="7"/>
      <c r="AD24" s="52"/>
      <c r="AE24" s="3">
        <v>25</v>
      </c>
      <c r="AG24" s="53"/>
      <c r="AH24" s="7"/>
      <c r="AI24" s="7"/>
      <c r="AJ24" s="7"/>
      <c r="AK24" s="52"/>
      <c r="AL24" s="3">
        <v>32</v>
      </c>
      <c r="AN24" s="53"/>
      <c r="AO24" s="7"/>
      <c r="AP24" s="7"/>
      <c r="AQ24" s="7"/>
      <c r="AR24" s="52"/>
      <c r="AS24" s="62">
        <v>32</v>
      </c>
      <c r="AU24" s="53"/>
      <c r="AV24" s="7"/>
      <c r="AW24" s="7"/>
      <c r="AX24" s="7"/>
      <c r="AY24" s="52"/>
      <c r="AZ24" s="62">
        <v>0</v>
      </c>
    </row>
    <row r="25" spans="1:52" x14ac:dyDescent="0.4">
      <c r="A25" s="12">
        <f t="shared" si="7"/>
        <v>11</v>
      </c>
      <c r="B25" s="167">
        <f t="shared" si="0"/>
        <v>0</v>
      </c>
      <c r="C25" s="1">
        <f t="shared" si="1"/>
        <v>0</v>
      </c>
      <c r="D25" s="41">
        <f>D21</f>
        <v>0</v>
      </c>
      <c r="E25" s="41">
        <f t="shared" si="6"/>
        <v>0</v>
      </c>
      <c r="F25" s="157">
        <f t="shared" si="8"/>
        <v>0</v>
      </c>
      <c r="G25" s="158">
        <f t="shared" si="2"/>
        <v>0</v>
      </c>
      <c r="H25" s="158">
        <f t="shared" si="3"/>
        <v>0</v>
      </c>
      <c r="I25" s="158">
        <f t="shared" si="4"/>
        <v>0</v>
      </c>
      <c r="J25" s="159">
        <f t="shared" si="5"/>
        <v>0</v>
      </c>
      <c r="N25" s="456"/>
      <c r="O25" s="457"/>
      <c r="P25" s="457"/>
      <c r="Q25" s="457"/>
      <c r="R25" s="462"/>
      <c r="S25" s="53">
        <v>3.8</v>
      </c>
      <c r="T25" s="7" t="s">
        <v>42</v>
      </c>
      <c r="U25" s="7" t="s">
        <v>43</v>
      </c>
      <c r="V25" s="7" t="s">
        <v>46</v>
      </c>
      <c r="W25" s="52">
        <v>4.3</v>
      </c>
      <c r="X25" s="3">
        <v>23</v>
      </c>
      <c r="Z25" s="53"/>
      <c r="AA25" s="7"/>
      <c r="AB25" s="7"/>
      <c r="AC25" s="7"/>
      <c r="AD25" s="52"/>
      <c r="AE25" s="3">
        <v>24</v>
      </c>
      <c r="AG25" s="53"/>
      <c r="AH25" s="7"/>
      <c r="AI25" s="7"/>
      <c r="AJ25" s="7"/>
      <c r="AK25" s="52"/>
      <c r="AL25" s="3">
        <v>30</v>
      </c>
      <c r="AN25" s="53"/>
      <c r="AO25" s="7"/>
      <c r="AP25" s="7"/>
      <c r="AQ25" s="7"/>
      <c r="AR25" s="52"/>
      <c r="AS25" s="62">
        <v>30</v>
      </c>
      <c r="AU25" s="53"/>
      <c r="AV25" s="7"/>
      <c r="AW25" s="7"/>
      <c r="AX25" s="7"/>
      <c r="AY25" s="52"/>
      <c r="AZ25" s="62">
        <v>0</v>
      </c>
    </row>
    <row r="26" spans="1:52" ht="19.5" thickBot="1" x14ac:dyDescent="0.45">
      <c r="A26" s="12">
        <f t="shared" si="7"/>
        <v>12</v>
      </c>
      <c r="B26" s="167">
        <f t="shared" si="0"/>
        <v>0</v>
      </c>
      <c r="C26" s="1">
        <f t="shared" ref="C26" si="9">IF(AND(D26=1,E26=1),1,0)</f>
        <v>0</v>
      </c>
      <c r="D26" s="41">
        <f>D21</f>
        <v>0</v>
      </c>
      <c r="E26" s="42">
        <f>IF(S26&lt;=ηAH,1,0)</f>
        <v>0</v>
      </c>
      <c r="F26" s="160">
        <f t="shared" si="8"/>
        <v>0</v>
      </c>
      <c r="G26" s="161">
        <f t="shared" si="2"/>
        <v>0</v>
      </c>
      <c r="H26" s="161">
        <f t="shared" si="3"/>
        <v>0</v>
      </c>
      <c r="I26" s="161">
        <f t="shared" si="4"/>
        <v>0</v>
      </c>
      <c r="J26" s="162">
        <f t="shared" si="5"/>
        <v>0</v>
      </c>
      <c r="N26" s="463"/>
      <c r="O26" s="464"/>
      <c r="P26" s="464"/>
      <c r="Q26" s="464"/>
      <c r="R26" s="466"/>
      <c r="S26" s="63">
        <v>4.3</v>
      </c>
      <c r="T26" s="48" t="s">
        <v>42</v>
      </c>
      <c r="U26" s="48" t="s">
        <v>43</v>
      </c>
      <c r="V26" s="48"/>
      <c r="W26" s="67"/>
      <c r="X26" s="65">
        <v>21</v>
      </c>
      <c r="Y26" s="46"/>
      <c r="Z26" s="63"/>
      <c r="AA26" s="48"/>
      <c r="AB26" s="48"/>
      <c r="AC26" s="48"/>
      <c r="AD26" s="67"/>
      <c r="AE26" s="65">
        <v>21</v>
      </c>
      <c r="AF26" s="46"/>
      <c r="AG26" s="63"/>
      <c r="AH26" s="48"/>
      <c r="AI26" s="48"/>
      <c r="AJ26" s="48"/>
      <c r="AK26" s="67"/>
      <c r="AL26" s="65">
        <v>27</v>
      </c>
      <c r="AM26" s="46"/>
      <c r="AN26" s="63"/>
      <c r="AO26" s="48"/>
      <c r="AP26" s="48"/>
      <c r="AQ26" s="48"/>
      <c r="AR26" s="67"/>
      <c r="AS26" s="66">
        <v>27</v>
      </c>
      <c r="AU26" s="63"/>
      <c r="AV26" s="48"/>
      <c r="AW26" s="48"/>
      <c r="AX26" s="48"/>
      <c r="AY26" s="67"/>
      <c r="AZ26" s="66">
        <v>0</v>
      </c>
    </row>
    <row r="27" spans="1:52" x14ac:dyDescent="0.4">
      <c r="A27" s="12">
        <f t="shared" si="7"/>
        <v>13</v>
      </c>
      <c r="B27" s="167">
        <f t="shared" si="0"/>
        <v>0</v>
      </c>
      <c r="C27" s="37">
        <f>IF(AND(D27=1,E27=1),1,0)</f>
        <v>0</v>
      </c>
      <c r="D27" s="40">
        <f>IF(AND(N27&lt;UA値z,UA値z&lt;=R27),1,0)</f>
        <v>0</v>
      </c>
      <c r="E27" s="40">
        <f t="shared" si="6"/>
        <v>1</v>
      </c>
      <c r="F27" s="154">
        <f t="shared" si="8"/>
        <v>31</v>
      </c>
      <c r="G27" s="155">
        <f t="shared" si="2"/>
        <v>32</v>
      </c>
      <c r="H27" s="155">
        <f t="shared" si="3"/>
        <v>43</v>
      </c>
      <c r="I27" s="155">
        <f t="shared" si="4"/>
        <v>43</v>
      </c>
      <c r="J27" s="156">
        <f t="shared" si="5"/>
        <v>0</v>
      </c>
      <c r="N27" s="458">
        <v>0.78</v>
      </c>
      <c r="O27" s="459" t="s">
        <v>46</v>
      </c>
      <c r="P27" s="459" t="s">
        <v>45</v>
      </c>
      <c r="Q27" s="459" t="s">
        <v>42</v>
      </c>
      <c r="R27" s="465">
        <v>0.87</v>
      </c>
      <c r="S27" s="57">
        <v>1.8</v>
      </c>
      <c r="T27" s="47" t="s">
        <v>42</v>
      </c>
      <c r="U27" s="47" t="s">
        <v>43</v>
      </c>
      <c r="V27" s="47" t="s">
        <v>46</v>
      </c>
      <c r="W27" s="58">
        <v>2.2999999999999998</v>
      </c>
      <c r="X27" s="59">
        <v>31</v>
      </c>
      <c r="Y27" s="60"/>
      <c r="Z27" s="57"/>
      <c r="AA27" s="47"/>
      <c r="AB27" s="47"/>
      <c r="AC27" s="47"/>
      <c r="AD27" s="58"/>
      <c r="AE27" s="59">
        <v>32</v>
      </c>
      <c r="AF27" s="60"/>
      <c r="AG27" s="57"/>
      <c r="AH27" s="47"/>
      <c r="AI27" s="47"/>
      <c r="AJ27" s="47"/>
      <c r="AK27" s="58"/>
      <c r="AL27" s="59">
        <v>43</v>
      </c>
      <c r="AM27" s="60"/>
      <c r="AN27" s="57"/>
      <c r="AO27" s="47"/>
      <c r="AP27" s="47"/>
      <c r="AQ27" s="47"/>
      <c r="AR27" s="58"/>
      <c r="AS27" s="61">
        <v>43</v>
      </c>
      <c r="AU27" s="57"/>
      <c r="AV27" s="47"/>
      <c r="AW27" s="47"/>
      <c r="AX27" s="47"/>
      <c r="AY27" s="58"/>
      <c r="AZ27" s="61">
        <v>0</v>
      </c>
    </row>
    <row r="28" spans="1:52" x14ac:dyDescent="0.4">
      <c r="A28" s="12">
        <f t="shared" si="7"/>
        <v>14</v>
      </c>
      <c r="B28" s="167">
        <f t="shared" si="0"/>
        <v>0</v>
      </c>
      <c r="C28" s="1">
        <f t="shared" ref="C28:C32" si="10">IF(AND(D28=1,E28=1),1,0)</f>
        <v>0</v>
      </c>
      <c r="D28" s="41">
        <f>D27</f>
        <v>0</v>
      </c>
      <c r="E28" s="41">
        <f t="shared" si="6"/>
        <v>0</v>
      </c>
      <c r="F28" s="157">
        <f t="shared" si="8"/>
        <v>0</v>
      </c>
      <c r="G28" s="158">
        <f t="shared" si="2"/>
        <v>0</v>
      </c>
      <c r="H28" s="158">
        <f t="shared" si="3"/>
        <v>0</v>
      </c>
      <c r="I28" s="158">
        <f t="shared" si="4"/>
        <v>0</v>
      </c>
      <c r="J28" s="159">
        <f t="shared" si="5"/>
        <v>0</v>
      </c>
      <c r="N28" s="456"/>
      <c r="O28" s="457"/>
      <c r="P28" s="457"/>
      <c r="Q28" s="457"/>
      <c r="R28" s="462"/>
      <c r="S28" s="53">
        <v>2.2999999999999998</v>
      </c>
      <c r="T28" s="7" t="s">
        <v>42</v>
      </c>
      <c r="U28" s="7" t="s">
        <v>43</v>
      </c>
      <c r="V28" s="7" t="s">
        <v>46</v>
      </c>
      <c r="W28" s="52">
        <v>2.8</v>
      </c>
      <c r="X28" s="3">
        <v>29</v>
      </c>
      <c r="Z28" s="53"/>
      <c r="AA28" s="7"/>
      <c r="AB28" s="7"/>
      <c r="AC28" s="7"/>
      <c r="AD28" s="52"/>
      <c r="AE28" s="3">
        <v>31</v>
      </c>
      <c r="AG28" s="53"/>
      <c r="AH28" s="7"/>
      <c r="AI28" s="7"/>
      <c r="AJ28" s="7"/>
      <c r="AK28" s="52"/>
      <c r="AL28" s="3">
        <v>41</v>
      </c>
      <c r="AN28" s="53"/>
      <c r="AO28" s="7"/>
      <c r="AP28" s="7"/>
      <c r="AQ28" s="7"/>
      <c r="AR28" s="52"/>
      <c r="AS28" s="62">
        <v>41</v>
      </c>
      <c r="AU28" s="53"/>
      <c r="AV28" s="7"/>
      <c r="AW28" s="7"/>
      <c r="AX28" s="7"/>
      <c r="AY28" s="52"/>
      <c r="AZ28" s="62">
        <v>0</v>
      </c>
    </row>
    <row r="29" spans="1:52" x14ac:dyDescent="0.4">
      <c r="A29" s="12">
        <f t="shared" si="7"/>
        <v>15</v>
      </c>
      <c r="B29" s="167">
        <f t="shared" si="0"/>
        <v>0</v>
      </c>
      <c r="C29" s="1">
        <f t="shared" si="10"/>
        <v>0</v>
      </c>
      <c r="D29" s="41">
        <f>D27</f>
        <v>0</v>
      </c>
      <c r="E29" s="41">
        <f t="shared" si="6"/>
        <v>0</v>
      </c>
      <c r="F29" s="157">
        <f t="shared" si="8"/>
        <v>0</v>
      </c>
      <c r="G29" s="158">
        <f t="shared" si="2"/>
        <v>0</v>
      </c>
      <c r="H29" s="158">
        <f t="shared" si="3"/>
        <v>0</v>
      </c>
      <c r="I29" s="158">
        <f t="shared" si="4"/>
        <v>0</v>
      </c>
      <c r="J29" s="159">
        <f t="shared" si="5"/>
        <v>0</v>
      </c>
      <c r="N29" s="456"/>
      <c r="O29" s="457"/>
      <c r="P29" s="457"/>
      <c r="Q29" s="457"/>
      <c r="R29" s="462"/>
      <c r="S29" s="53">
        <v>2.8</v>
      </c>
      <c r="T29" s="7" t="s">
        <v>42</v>
      </c>
      <c r="U29" s="7" t="s">
        <v>43</v>
      </c>
      <c r="V29" s="7" t="s">
        <v>46</v>
      </c>
      <c r="W29" s="52">
        <v>3.3</v>
      </c>
      <c r="X29" s="3">
        <v>28</v>
      </c>
      <c r="Z29" s="53"/>
      <c r="AA29" s="7"/>
      <c r="AB29" s="7"/>
      <c r="AC29" s="7"/>
      <c r="AD29" s="52"/>
      <c r="AE29" s="3">
        <v>29</v>
      </c>
      <c r="AG29" s="53"/>
      <c r="AH29" s="7"/>
      <c r="AI29" s="7"/>
      <c r="AJ29" s="7"/>
      <c r="AK29" s="52"/>
      <c r="AL29" s="3">
        <v>39</v>
      </c>
      <c r="AN29" s="53"/>
      <c r="AO29" s="7"/>
      <c r="AP29" s="7"/>
      <c r="AQ29" s="7"/>
      <c r="AR29" s="52"/>
      <c r="AS29" s="62">
        <v>38</v>
      </c>
      <c r="AU29" s="53"/>
      <c r="AV29" s="7"/>
      <c r="AW29" s="7"/>
      <c r="AX29" s="7"/>
      <c r="AY29" s="52"/>
      <c r="AZ29" s="62">
        <v>0</v>
      </c>
    </row>
    <row r="30" spans="1:52" x14ac:dyDescent="0.4">
      <c r="A30" s="12">
        <f t="shared" si="7"/>
        <v>16</v>
      </c>
      <c r="B30" s="167">
        <f t="shared" si="0"/>
        <v>0</v>
      </c>
      <c r="C30" s="1">
        <f t="shared" si="10"/>
        <v>0</v>
      </c>
      <c r="D30" s="41">
        <f>D27</f>
        <v>0</v>
      </c>
      <c r="E30" s="41">
        <f t="shared" si="6"/>
        <v>0</v>
      </c>
      <c r="F30" s="157">
        <f t="shared" si="8"/>
        <v>0</v>
      </c>
      <c r="G30" s="158">
        <f t="shared" si="2"/>
        <v>0</v>
      </c>
      <c r="H30" s="158">
        <f t="shared" si="3"/>
        <v>0</v>
      </c>
      <c r="I30" s="158">
        <f t="shared" si="4"/>
        <v>0</v>
      </c>
      <c r="J30" s="159">
        <f t="shared" si="5"/>
        <v>0</v>
      </c>
      <c r="N30" s="456"/>
      <c r="O30" s="457"/>
      <c r="P30" s="457"/>
      <c r="Q30" s="457"/>
      <c r="R30" s="462"/>
      <c r="S30" s="53">
        <v>3.3</v>
      </c>
      <c r="T30" s="7" t="s">
        <v>42</v>
      </c>
      <c r="U30" s="7" t="s">
        <v>43</v>
      </c>
      <c r="V30" s="7" t="s">
        <v>46</v>
      </c>
      <c r="W30" s="52">
        <v>3.8</v>
      </c>
      <c r="X30" s="3">
        <v>27</v>
      </c>
      <c r="Z30" s="53"/>
      <c r="AA30" s="7"/>
      <c r="AB30" s="7"/>
      <c r="AC30" s="7"/>
      <c r="AD30" s="52"/>
      <c r="AE30" s="3">
        <v>28</v>
      </c>
      <c r="AG30" s="53"/>
      <c r="AH30" s="7"/>
      <c r="AI30" s="7"/>
      <c r="AJ30" s="7"/>
      <c r="AK30" s="52"/>
      <c r="AL30" s="3">
        <v>36</v>
      </c>
      <c r="AN30" s="53"/>
      <c r="AO30" s="7"/>
      <c r="AP30" s="7"/>
      <c r="AQ30" s="7"/>
      <c r="AR30" s="52"/>
      <c r="AS30" s="62">
        <v>36</v>
      </c>
      <c r="AU30" s="53"/>
      <c r="AV30" s="7"/>
      <c r="AW30" s="7"/>
      <c r="AX30" s="7"/>
      <c r="AY30" s="52"/>
      <c r="AZ30" s="62">
        <v>0</v>
      </c>
    </row>
    <row r="31" spans="1:52" x14ac:dyDescent="0.4">
      <c r="A31" s="12">
        <f t="shared" si="7"/>
        <v>17</v>
      </c>
      <c r="B31" s="167">
        <f t="shared" si="0"/>
        <v>0</v>
      </c>
      <c r="C31" s="1">
        <f t="shared" si="10"/>
        <v>0</v>
      </c>
      <c r="D31" s="41">
        <f>D27</f>
        <v>0</v>
      </c>
      <c r="E31" s="41">
        <f t="shared" si="6"/>
        <v>0</v>
      </c>
      <c r="F31" s="157">
        <f t="shared" si="8"/>
        <v>0</v>
      </c>
      <c r="G31" s="158">
        <f t="shared" si="2"/>
        <v>0</v>
      </c>
      <c r="H31" s="158">
        <f t="shared" si="3"/>
        <v>0</v>
      </c>
      <c r="I31" s="158">
        <f t="shared" si="4"/>
        <v>0</v>
      </c>
      <c r="J31" s="159">
        <f t="shared" si="5"/>
        <v>0</v>
      </c>
      <c r="N31" s="456"/>
      <c r="O31" s="457"/>
      <c r="P31" s="457"/>
      <c r="Q31" s="457"/>
      <c r="R31" s="462"/>
      <c r="S31" s="53">
        <v>3.8</v>
      </c>
      <c r="T31" s="7" t="s">
        <v>42</v>
      </c>
      <c r="U31" s="7" t="s">
        <v>43</v>
      </c>
      <c r="V31" s="7" t="s">
        <v>46</v>
      </c>
      <c r="W31" s="52">
        <v>4.3</v>
      </c>
      <c r="X31" s="3">
        <v>26</v>
      </c>
      <c r="Z31" s="53"/>
      <c r="AA31" s="7"/>
      <c r="AB31" s="7"/>
      <c r="AC31" s="7"/>
      <c r="AD31" s="52"/>
      <c r="AE31" s="3">
        <v>27</v>
      </c>
      <c r="AG31" s="53"/>
      <c r="AH31" s="7"/>
      <c r="AI31" s="7"/>
      <c r="AJ31" s="7"/>
      <c r="AK31" s="52"/>
      <c r="AL31" s="3">
        <v>34</v>
      </c>
      <c r="AN31" s="53"/>
      <c r="AO31" s="7"/>
      <c r="AP31" s="7"/>
      <c r="AQ31" s="7"/>
      <c r="AR31" s="52"/>
      <c r="AS31" s="62">
        <v>33</v>
      </c>
      <c r="AU31" s="53"/>
      <c r="AV31" s="7"/>
      <c r="AW31" s="7"/>
      <c r="AX31" s="7"/>
      <c r="AY31" s="52"/>
      <c r="AZ31" s="62">
        <v>0</v>
      </c>
    </row>
    <row r="32" spans="1:52" ht="19.5" thickBot="1" x14ac:dyDescent="0.45">
      <c r="A32" s="12">
        <f t="shared" si="7"/>
        <v>18</v>
      </c>
      <c r="B32" s="167">
        <f t="shared" si="0"/>
        <v>0</v>
      </c>
      <c r="C32" s="43">
        <f t="shared" si="10"/>
        <v>0</v>
      </c>
      <c r="D32" s="42">
        <f>D27</f>
        <v>0</v>
      </c>
      <c r="E32" s="42">
        <f>IF(S32&lt;=ηAH,1,0)</f>
        <v>0</v>
      </c>
      <c r="F32" s="160">
        <f t="shared" si="8"/>
        <v>0</v>
      </c>
      <c r="G32" s="161">
        <f t="shared" si="2"/>
        <v>0</v>
      </c>
      <c r="H32" s="161">
        <f t="shared" si="3"/>
        <v>0</v>
      </c>
      <c r="I32" s="161">
        <f t="shared" si="4"/>
        <v>0</v>
      </c>
      <c r="J32" s="162">
        <f t="shared" si="5"/>
        <v>0</v>
      </c>
      <c r="N32" s="463"/>
      <c r="O32" s="464"/>
      <c r="P32" s="464"/>
      <c r="Q32" s="464"/>
      <c r="R32" s="466"/>
      <c r="S32" s="63">
        <v>4.3</v>
      </c>
      <c r="T32" s="48" t="s">
        <v>42</v>
      </c>
      <c r="U32" s="48" t="s">
        <v>43</v>
      </c>
      <c r="V32" s="48"/>
      <c r="W32" s="67"/>
      <c r="X32" s="65">
        <v>23</v>
      </c>
      <c r="Y32" s="46"/>
      <c r="Z32" s="63"/>
      <c r="AA32" s="48"/>
      <c r="AB32" s="48"/>
      <c r="AC32" s="48"/>
      <c r="AD32" s="67"/>
      <c r="AE32" s="65">
        <v>24</v>
      </c>
      <c r="AF32" s="46"/>
      <c r="AG32" s="63"/>
      <c r="AH32" s="48"/>
      <c r="AI32" s="48"/>
      <c r="AJ32" s="48"/>
      <c r="AK32" s="67"/>
      <c r="AL32" s="65">
        <v>31</v>
      </c>
      <c r="AM32" s="46"/>
      <c r="AN32" s="63"/>
      <c r="AO32" s="48"/>
      <c r="AP32" s="48"/>
      <c r="AQ32" s="48"/>
      <c r="AR32" s="67"/>
      <c r="AS32" s="66">
        <v>30</v>
      </c>
      <c r="AU32" s="63"/>
      <c r="AV32" s="48"/>
      <c r="AW32" s="48"/>
      <c r="AX32" s="48"/>
      <c r="AY32" s="67"/>
      <c r="AZ32" s="66">
        <v>0</v>
      </c>
    </row>
    <row r="33" spans="1:52" x14ac:dyDescent="0.4">
      <c r="A33" s="12">
        <f t="shared" si="7"/>
        <v>19</v>
      </c>
      <c r="B33" s="167">
        <f t="shared" si="0"/>
        <v>0</v>
      </c>
      <c r="C33" s="37">
        <f>IF(AND(D33=1,E33=1),1,0)</f>
        <v>0</v>
      </c>
      <c r="D33" s="41">
        <f>IF(AND(N33&lt;UA値z,UA値z&lt;=R33),1,0)</f>
        <v>0</v>
      </c>
      <c r="E33" s="41">
        <f t="shared" si="6"/>
        <v>1</v>
      </c>
      <c r="F33" s="157">
        <f t="shared" si="8"/>
        <v>37</v>
      </c>
      <c r="G33" s="158">
        <f t="shared" si="2"/>
        <v>38</v>
      </c>
      <c r="H33" s="158">
        <f t="shared" si="3"/>
        <v>43</v>
      </c>
      <c r="I33" s="158">
        <f t="shared" si="4"/>
        <v>50</v>
      </c>
      <c r="J33" s="159">
        <f t="shared" si="5"/>
        <v>0</v>
      </c>
      <c r="N33" s="458">
        <v>0.87</v>
      </c>
      <c r="O33" s="459" t="s">
        <v>46</v>
      </c>
      <c r="P33" s="459" t="s">
        <v>45</v>
      </c>
      <c r="Q33" s="459" t="s">
        <v>42</v>
      </c>
      <c r="R33" s="465">
        <v>1.1000000000000001</v>
      </c>
      <c r="S33" s="57">
        <v>1.8</v>
      </c>
      <c r="T33" s="47" t="s">
        <v>42</v>
      </c>
      <c r="U33" s="47" t="s">
        <v>43</v>
      </c>
      <c r="V33" s="47" t="s">
        <v>46</v>
      </c>
      <c r="W33" s="58">
        <v>2.2999999999999998</v>
      </c>
      <c r="X33" s="59">
        <v>37</v>
      </c>
      <c r="Y33" s="60"/>
      <c r="Z33" s="57"/>
      <c r="AA33" s="47"/>
      <c r="AB33" s="47"/>
      <c r="AC33" s="47"/>
      <c r="AD33" s="58"/>
      <c r="AE33" s="59">
        <v>38</v>
      </c>
      <c r="AF33" s="60"/>
      <c r="AG33" s="57"/>
      <c r="AH33" s="47"/>
      <c r="AI33" s="47"/>
      <c r="AJ33" s="47"/>
      <c r="AK33" s="58"/>
      <c r="AL33" s="59">
        <v>43</v>
      </c>
      <c r="AM33" s="60"/>
      <c r="AN33" s="57"/>
      <c r="AO33" s="47"/>
      <c r="AP33" s="47"/>
      <c r="AQ33" s="47"/>
      <c r="AR33" s="58"/>
      <c r="AS33" s="61">
        <v>50</v>
      </c>
      <c r="AU33" s="57"/>
      <c r="AV33" s="47"/>
      <c r="AW33" s="47"/>
      <c r="AX33" s="47"/>
      <c r="AY33" s="58"/>
      <c r="AZ33" s="61">
        <v>0</v>
      </c>
    </row>
    <row r="34" spans="1:52" x14ac:dyDescent="0.4">
      <c r="A34" s="12">
        <f t="shared" si="7"/>
        <v>20</v>
      </c>
      <c r="B34" s="167">
        <f t="shared" si="0"/>
        <v>0</v>
      </c>
      <c r="C34" s="1">
        <f t="shared" ref="C34:C38" si="11">IF(AND(D34=1,E34=1),1,0)</f>
        <v>0</v>
      </c>
      <c r="D34" s="41">
        <f>D33</f>
        <v>0</v>
      </c>
      <c r="E34" s="41">
        <f t="shared" si="6"/>
        <v>0</v>
      </c>
      <c r="F34" s="157">
        <f t="shared" si="8"/>
        <v>0</v>
      </c>
      <c r="G34" s="158">
        <f t="shared" si="2"/>
        <v>0</v>
      </c>
      <c r="H34" s="158">
        <f t="shared" si="3"/>
        <v>0</v>
      </c>
      <c r="I34" s="158">
        <f t="shared" si="4"/>
        <v>0</v>
      </c>
      <c r="J34" s="159">
        <f t="shared" si="5"/>
        <v>0</v>
      </c>
      <c r="N34" s="456"/>
      <c r="O34" s="457"/>
      <c r="P34" s="457"/>
      <c r="Q34" s="457"/>
      <c r="R34" s="462"/>
      <c r="S34" s="53">
        <v>2.2999999999999998</v>
      </c>
      <c r="T34" s="7" t="s">
        <v>42</v>
      </c>
      <c r="U34" s="7" t="s">
        <v>43</v>
      </c>
      <c r="V34" s="7" t="s">
        <v>46</v>
      </c>
      <c r="W34" s="52">
        <v>2.8</v>
      </c>
      <c r="X34" s="3">
        <v>35</v>
      </c>
      <c r="Z34" s="53"/>
      <c r="AA34" s="7"/>
      <c r="AB34" s="7"/>
      <c r="AC34" s="7"/>
      <c r="AD34" s="52"/>
      <c r="AE34" s="3">
        <v>37</v>
      </c>
      <c r="AG34" s="53"/>
      <c r="AH34" s="7"/>
      <c r="AI34" s="7"/>
      <c r="AJ34" s="7"/>
      <c r="AK34" s="52"/>
      <c r="AL34" s="3">
        <v>41</v>
      </c>
      <c r="AN34" s="53"/>
      <c r="AO34" s="7"/>
      <c r="AP34" s="7"/>
      <c r="AQ34" s="7"/>
      <c r="AR34" s="52"/>
      <c r="AS34" s="62">
        <v>47</v>
      </c>
      <c r="AU34" s="53"/>
      <c r="AV34" s="7"/>
      <c r="AW34" s="7"/>
      <c r="AX34" s="7"/>
      <c r="AY34" s="52"/>
      <c r="AZ34" s="62">
        <v>0</v>
      </c>
    </row>
    <row r="35" spans="1:52" x14ac:dyDescent="0.4">
      <c r="A35" s="12">
        <f t="shared" si="7"/>
        <v>21</v>
      </c>
      <c r="B35" s="167">
        <f t="shared" si="0"/>
        <v>0</v>
      </c>
      <c r="C35" s="1">
        <f t="shared" si="11"/>
        <v>0</v>
      </c>
      <c r="D35" s="41">
        <f>D33</f>
        <v>0</v>
      </c>
      <c r="E35" s="41">
        <f t="shared" si="6"/>
        <v>0</v>
      </c>
      <c r="F35" s="157">
        <f t="shared" si="8"/>
        <v>0</v>
      </c>
      <c r="G35" s="158">
        <f t="shared" si="2"/>
        <v>0</v>
      </c>
      <c r="H35" s="158">
        <f t="shared" si="3"/>
        <v>0</v>
      </c>
      <c r="I35" s="158">
        <f t="shared" si="4"/>
        <v>0</v>
      </c>
      <c r="J35" s="159">
        <f t="shared" si="5"/>
        <v>0</v>
      </c>
      <c r="N35" s="456"/>
      <c r="O35" s="457"/>
      <c r="P35" s="457"/>
      <c r="Q35" s="457"/>
      <c r="R35" s="462"/>
      <c r="S35" s="53">
        <v>2.8</v>
      </c>
      <c r="T35" s="7" t="s">
        <v>42</v>
      </c>
      <c r="U35" s="7" t="s">
        <v>43</v>
      </c>
      <c r="V35" s="7" t="s">
        <v>46</v>
      </c>
      <c r="W35" s="52">
        <v>3.3</v>
      </c>
      <c r="X35" s="3">
        <v>34</v>
      </c>
      <c r="Z35" s="53"/>
      <c r="AA35" s="7"/>
      <c r="AB35" s="7"/>
      <c r="AC35" s="7"/>
      <c r="AD35" s="52"/>
      <c r="AE35" s="3">
        <v>35</v>
      </c>
      <c r="AG35" s="53"/>
      <c r="AH35" s="7"/>
      <c r="AI35" s="7"/>
      <c r="AJ35" s="7"/>
      <c r="AK35" s="52"/>
      <c r="AL35" s="3">
        <v>39</v>
      </c>
      <c r="AN35" s="53"/>
      <c r="AO35" s="7"/>
      <c r="AP35" s="7"/>
      <c r="AQ35" s="7"/>
      <c r="AR35" s="52"/>
      <c r="AS35" s="62">
        <v>45</v>
      </c>
      <c r="AU35" s="53"/>
      <c r="AV35" s="7"/>
      <c r="AW35" s="7"/>
      <c r="AX35" s="7"/>
      <c r="AY35" s="52"/>
      <c r="AZ35" s="62">
        <v>0</v>
      </c>
    </row>
    <row r="36" spans="1:52" x14ac:dyDescent="0.4">
      <c r="A36" s="12">
        <f t="shared" si="7"/>
        <v>22</v>
      </c>
      <c r="B36" s="167">
        <f t="shared" si="0"/>
        <v>0</v>
      </c>
      <c r="C36" s="1">
        <f t="shared" si="11"/>
        <v>0</v>
      </c>
      <c r="D36" s="41">
        <f>D33</f>
        <v>0</v>
      </c>
      <c r="E36" s="41">
        <f t="shared" si="6"/>
        <v>0</v>
      </c>
      <c r="F36" s="157">
        <f t="shared" si="8"/>
        <v>0</v>
      </c>
      <c r="G36" s="158">
        <f t="shared" si="2"/>
        <v>0</v>
      </c>
      <c r="H36" s="158">
        <f t="shared" si="3"/>
        <v>0</v>
      </c>
      <c r="I36" s="158">
        <f t="shared" si="4"/>
        <v>0</v>
      </c>
      <c r="J36" s="159">
        <f t="shared" si="5"/>
        <v>0</v>
      </c>
      <c r="N36" s="456"/>
      <c r="O36" s="457"/>
      <c r="P36" s="457"/>
      <c r="Q36" s="457"/>
      <c r="R36" s="462"/>
      <c r="S36" s="53">
        <v>3.3</v>
      </c>
      <c r="T36" s="7" t="s">
        <v>42</v>
      </c>
      <c r="U36" s="7" t="s">
        <v>43</v>
      </c>
      <c r="V36" s="7" t="s">
        <v>46</v>
      </c>
      <c r="W36" s="52">
        <v>3.8</v>
      </c>
      <c r="X36" s="3">
        <v>32</v>
      </c>
      <c r="Z36" s="53"/>
      <c r="AA36" s="7"/>
      <c r="AB36" s="7"/>
      <c r="AC36" s="7"/>
      <c r="AD36" s="52"/>
      <c r="AE36" s="3">
        <v>33</v>
      </c>
      <c r="AG36" s="53"/>
      <c r="AH36" s="7"/>
      <c r="AI36" s="7"/>
      <c r="AJ36" s="7"/>
      <c r="AK36" s="52"/>
      <c r="AL36" s="3">
        <v>36</v>
      </c>
      <c r="AN36" s="53"/>
      <c r="AO36" s="7"/>
      <c r="AP36" s="7"/>
      <c r="AQ36" s="7"/>
      <c r="AR36" s="52"/>
      <c r="AS36" s="62">
        <v>43</v>
      </c>
      <c r="AU36" s="53"/>
      <c r="AV36" s="7"/>
      <c r="AW36" s="7"/>
      <c r="AX36" s="7"/>
      <c r="AY36" s="52"/>
      <c r="AZ36" s="62">
        <v>0</v>
      </c>
    </row>
    <row r="37" spans="1:52" x14ac:dyDescent="0.4">
      <c r="A37" s="12">
        <f t="shared" si="7"/>
        <v>23</v>
      </c>
      <c r="B37" s="167">
        <f t="shared" si="0"/>
        <v>0</v>
      </c>
      <c r="C37" s="1">
        <f t="shared" si="11"/>
        <v>0</v>
      </c>
      <c r="D37" s="41">
        <f>D33</f>
        <v>0</v>
      </c>
      <c r="E37" s="41">
        <f t="shared" si="6"/>
        <v>0</v>
      </c>
      <c r="F37" s="157">
        <f t="shared" si="8"/>
        <v>0</v>
      </c>
      <c r="G37" s="158">
        <f t="shared" si="2"/>
        <v>0</v>
      </c>
      <c r="H37" s="158">
        <f t="shared" si="3"/>
        <v>0</v>
      </c>
      <c r="I37" s="158">
        <f t="shared" si="4"/>
        <v>0</v>
      </c>
      <c r="J37" s="159">
        <f t="shared" si="5"/>
        <v>0</v>
      </c>
      <c r="N37" s="456"/>
      <c r="O37" s="457"/>
      <c r="P37" s="457"/>
      <c r="Q37" s="457"/>
      <c r="R37" s="462"/>
      <c r="S37" s="53">
        <v>3.8</v>
      </c>
      <c r="T37" s="7" t="s">
        <v>42</v>
      </c>
      <c r="U37" s="7" t="s">
        <v>43</v>
      </c>
      <c r="V37" s="7" t="s">
        <v>46</v>
      </c>
      <c r="W37" s="52">
        <v>4.3</v>
      </c>
      <c r="X37" s="3">
        <v>31</v>
      </c>
      <c r="Z37" s="53"/>
      <c r="AA37" s="7"/>
      <c r="AB37" s="7"/>
      <c r="AC37" s="7"/>
      <c r="AD37" s="52"/>
      <c r="AE37" s="3">
        <v>32</v>
      </c>
      <c r="AG37" s="53"/>
      <c r="AH37" s="7"/>
      <c r="AI37" s="7"/>
      <c r="AJ37" s="7"/>
      <c r="AK37" s="52"/>
      <c r="AL37" s="3">
        <v>34</v>
      </c>
      <c r="AN37" s="53"/>
      <c r="AO37" s="7"/>
      <c r="AP37" s="7"/>
      <c r="AQ37" s="7"/>
      <c r="AR37" s="52"/>
      <c r="AS37" s="62">
        <v>40</v>
      </c>
      <c r="AU37" s="53"/>
      <c r="AV37" s="7"/>
      <c r="AW37" s="7"/>
      <c r="AX37" s="7"/>
      <c r="AY37" s="52"/>
      <c r="AZ37" s="62">
        <v>0</v>
      </c>
    </row>
    <row r="38" spans="1:52" ht="19.5" thickBot="1" x14ac:dyDescent="0.45">
      <c r="A38" s="12">
        <f t="shared" si="7"/>
        <v>24</v>
      </c>
      <c r="B38" s="167">
        <f t="shared" si="0"/>
        <v>0</v>
      </c>
      <c r="C38" s="1">
        <f t="shared" si="11"/>
        <v>0</v>
      </c>
      <c r="D38" s="41">
        <f>D33</f>
        <v>0</v>
      </c>
      <c r="E38" s="41">
        <f>IF(S38&lt;=ηAH,1,0)</f>
        <v>0</v>
      </c>
      <c r="F38" s="157">
        <f t="shared" si="8"/>
        <v>0</v>
      </c>
      <c r="G38" s="158">
        <f t="shared" si="2"/>
        <v>0</v>
      </c>
      <c r="H38" s="158">
        <f t="shared" si="3"/>
        <v>0</v>
      </c>
      <c r="I38" s="158">
        <f t="shared" si="4"/>
        <v>0</v>
      </c>
      <c r="J38" s="159">
        <f t="shared" si="5"/>
        <v>0</v>
      </c>
      <c r="N38" s="463"/>
      <c r="O38" s="464"/>
      <c r="P38" s="464"/>
      <c r="Q38" s="464"/>
      <c r="R38" s="466"/>
      <c r="S38" s="63">
        <v>4.3</v>
      </c>
      <c r="T38" s="48" t="s">
        <v>42</v>
      </c>
      <c r="U38" s="48" t="s">
        <v>43</v>
      </c>
      <c r="V38" s="48"/>
      <c r="W38" s="67"/>
      <c r="X38" s="65">
        <v>30</v>
      </c>
      <c r="Y38" s="46"/>
      <c r="Z38" s="63"/>
      <c r="AA38" s="48"/>
      <c r="AB38" s="48"/>
      <c r="AC38" s="48"/>
      <c r="AD38" s="67"/>
      <c r="AE38" s="65">
        <v>31</v>
      </c>
      <c r="AF38" s="46"/>
      <c r="AG38" s="63"/>
      <c r="AH38" s="48"/>
      <c r="AI38" s="48"/>
      <c r="AJ38" s="48"/>
      <c r="AK38" s="67"/>
      <c r="AL38" s="65">
        <v>31</v>
      </c>
      <c r="AM38" s="46"/>
      <c r="AN38" s="63"/>
      <c r="AO38" s="48"/>
      <c r="AP38" s="48"/>
      <c r="AQ38" s="48"/>
      <c r="AR38" s="67"/>
      <c r="AS38" s="66">
        <v>39</v>
      </c>
      <c r="AU38" s="63"/>
      <c r="AV38" s="48"/>
      <c r="AW38" s="48"/>
      <c r="AX38" s="48"/>
      <c r="AY38" s="67"/>
      <c r="AZ38" s="66">
        <v>0</v>
      </c>
    </row>
    <row r="39" spans="1:52" x14ac:dyDescent="0.4">
      <c r="A39" s="12">
        <f t="shared" si="7"/>
        <v>25</v>
      </c>
      <c r="B39" s="167">
        <f t="shared" si="0"/>
        <v>0</v>
      </c>
      <c r="C39" s="37">
        <f>IF(AND(D39=1,E39=1),1,0)</f>
        <v>0</v>
      </c>
      <c r="D39" s="40">
        <f>IF(AND(N39&lt;UA値z,UA値z&lt;=R39),1,0)</f>
        <v>0</v>
      </c>
      <c r="E39" s="40">
        <f t="shared" si="6"/>
        <v>1</v>
      </c>
      <c r="F39" s="154">
        <f t="shared" si="8"/>
        <v>43</v>
      </c>
      <c r="G39" s="155">
        <f t="shared" si="2"/>
        <v>45</v>
      </c>
      <c r="H39" s="155">
        <f t="shared" si="3"/>
        <v>56</v>
      </c>
      <c r="I39" s="155">
        <f t="shared" si="4"/>
        <v>56</v>
      </c>
      <c r="J39" s="156">
        <f t="shared" si="5"/>
        <v>0</v>
      </c>
      <c r="N39" s="458">
        <v>1.1000000000000001</v>
      </c>
      <c r="O39" s="459" t="s">
        <v>46</v>
      </c>
      <c r="P39" s="459" t="s">
        <v>45</v>
      </c>
      <c r="Q39" s="459" t="s">
        <v>42</v>
      </c>
      <c r="R39" s="465">
        <v>1.32</v>
      </c>
      <c r="S39" s="57">
        <v>1.8</v>
      </c>
      <c r="T39" s="47" t="s">
        <v>42</v>
      </c>
      <c r="U39" s="47" t="s">
        <v>43</v>
      </c>
      <c r="V39" s="47" t="s">
        <v>46</v>
      </c>
      <c r="W39" s="58">
        <v>2.2999999999999998</v>
      </c>
      <c r="X39" s="59">
        <v>43</v>
      </c>
      <c r="Y39" s="60"/>
      <c r="Z39" s="57"/>
      <c r="AA39" s="47"/>
      <c r="AB39" s="47"/>
      <c r="AC39" s="47"/>
      <c r="AD39" s="58"/>
      <c r="AE39" s="59">
        <v>45</v>
      </c>
      <c r="AF39" s="60"/>
      <c r="AG39" s="57"/>
      <c r="AH39" s="47"/>
      <c r="AI39" s="47"/>
      <c r="AJ39" s="47"/>
      <c r="AK39" s="58"/>
      <c r="AL39" s="59">
        <v>56</v>
      </c>
      <c r="AM39" s="60"/>
      <c r="AN39" s="57"/>
      <c r="AO39" s="47"/>
      <c r="AP39" s="47"/>
      <c r="AQ39" s="47"/>
      <c r="AR39" s="58"/>
      <c r="AS39" s="61">
        <v>56</v>
      </c>
      <c r="AU39" s="57"/>
      <c r="AV39" s="47"/>
      <c r="AW39" s="47"/>
      <c r="AX39" s="47"/>
      <c r="AY39" s="58"/>
      <c r="AZ39" s="61">
        <v>0</v>
      </c>
    </row>
    <row r="40" spans="1:52" x14ac:dyDescent="0.4">
      <c r="A40" s="12">
        <f t="shared" si="7"/>
        <v>26</v>
      </c>
      <c r="B40" s="167">
        <f t="shared" si="0"/>
        <v>0</v>
      </c>
      <c r="C40" s="1">
        <f t="shared" ref="C40:C44" si="12">IF(AND(D40=1,E40=1),1,0)</f>
        <v>0</v>
      </c>
      <c r="D40" s="41">
        <f>D39</f>
        <v>0</v>
      </c>
      <c r="E40" s="41">
        <f t="shared" si="6"/>
        <v>0</v>
      </c>
      <c r="F40" s="157">
        <f t="shared" si="8"/>
        <v>0</v>
      </c>
      <c r="G40" s="158">
        <f t="shared" si="2"/>
        <v>0</v>
      </c>
      <c r="H40" s="158">
        <f t="shared" si="3"/>
        <v>0</v>
      </c>
      <c r="I40" s="158">
        <f t="shared" si="4"/>
        <v>0</v>
      </c>
      <c r="J40" s="159">
        <f t="shared" si="5"/>
        <v>0</v>
      </c>
      <c r="N40" s="456"/>
      <c r="O40" s="457"/>
      <c r="P40" s="457"/>
      <c r="Q40" s="457"/>
      <c r="R40" s="462"/>
      <c r="S40" s="53">
        <v>2.2999999999999998</v>
      </c>
      <c r="T40" s="7" t="s">
        <v>42</v>
      </c>
      <c r="U40" s="7" t="s">
        <v>43</v>
      </c>
      <c r="V40" s="7" t="s">
        <v>46</v>
      </c>
      <c r="W40" s="52">
        <v>2.8</v>
      </c>
      <c r="X40" s="3">
        <v>41</v>
      </c>
      <c r="Z40" s="53"/>
      <c r="AA40" s="7"/>
      <c r="AB40" s="7"/>
      <c r="AC40" s="7"/>
      <c r="AD40" s="52"/>
      <c r="AE40" s="3">
        <v>43</v>
      </c>
      <c r="AG40" s="53"/>
      <c r="AH40" s="7"/>
      <c r="AI40" s="7"/>
      <c r="AJ40" s="7"/>
      <c r="AK40" s="52"/>
      <c r="AL40" s="3">
        <v>54</v>
      </c>
      <c r="AN40" s="53"/>
      <c r="AO40" s="7"/>
      <c r="AP40" s="7"/>
      <c r="AQ40" s="7"/>
      <c r="AR40" s="52"/>
      <c r="AS40" s="62">
        <v>54</v>
      </c>
      <c r="AU40" s="53"/>
      <c r="AV40" s="7"/>
      <c r="AW40" s="7"/>
      <c r="AX40" s="7"/>
      <c r="AY40" s="52"/>
      <c r="AZ40" s="62">
        <v>0</v>
      </c>
    </row>
    <row r="41" spans="1:52" x14ac:dyDescent="0.4">
      <c r="A41" s="12">
        <f t="shared" si="7"/>
        <v>27</v>
      </c>
      <c r="B41" s="167">
        <f t="shared" si="0"/>
        <v>0</v>
      </c>
      <c r="C41" s="1">
        <f t="shared" si="12"/>
        <v>0</v>
      </c>
      <c r="D41" s="41">
        <f>D39</f>
        <v>0</v>
      </c>
      <c r="E41" s="41">
        <f t="shared" si="6"/>
        <v>0</v>
      </c>
      <c r="F41" s="157">
        <f t="shared" si="8"/>
        <v>0</v>
      </c>
      <c r="G41" s="158">
        <f t="shared" si="2"/>
        <v>0</v>
      </c>
      <c r="H41" s="158">
        <f t="shared" si="3"/>
        <v>0</v>
      </c>
      <c r="I41" s="158">
        <f t="shared" si="4"/>
        <v>0</v>
      </c>
      <c r="J41" s="159">
        <f t="shared" si="5"/>
        <v>0</v>
      </c>
      <c r="N41" s="456"/>
      <c r="O41" s="457"/>
      <c r="P41" s="457"/>
      <c r="Q41" s="457"/>
      <c r="R41" s="462"/>
      <c r="S41" s="53">
        <v>2.8</v>
      </c>
      <c r="T41" s="7" t="s">
        <v>42</v>
      </c>
      <c r="U41" s="7" t="s">
        <v>43</v>
      </c>
      <c r="V41" s="7" t="s">
        <v>46</v>
      </c>
      <c r="W41" s="52">
        <v>3.3</v>
      </c>
      <c r="X41" s="3">
        <v>40</v>
      </c>
      <c r="Z41" s="53"/>
      <c r="AA41" s="7"/>
      <c r="AB41" s="7"/>
      <c r="AC41" s="7"/>
      <c r="AD41" s="52"/>
      <c r="AE41" s="3">
        <v>41</v>
      </c>
      <c r="AG41" s="53"/>
      <c r="AH41" s="7"/>
      <c r="AI41" s="7"/>
      <c r="AJ41" s="7"/>
      <c r="AK41" s="52"/>
      <c r="AL41" s="3">
        <v>52</v>
      </c>
      <c r="AN41" s="53"/>
      <c r="AO41" s="7"/>
      <c r="AP41" s="7"/>
      <c r="AQ41" s="7"/>
      <c r="AR41" s="52"/>
      <c r="AS41" s="62">
        <v>51</v>
      </c>
      <c r="AU41" s="53"/>
      <c r="AV41" s="7"/>
      <c r="AW41" s="7"/>
      <c r="AX41" s="7"/>
      <c r="AY41" s="52"/>
      <c r="AZ41" s="62">
        <v>0</v>
      </c>
    </row>
    <row r="42" spans="1:52" x14ac:dyDescent="0.4">
      <c r="A42" s="12">
        <f t="shared" si="7"/>
        <v>28</v>
      </c>
      <c r="B42" s="167">
        <f t="shared" si="0"/>
        <v>0</v>
      </c>
      <c r="C42" s="1">
        <f t="shared" si="12"/>
        <v>0</v>
      </c>
      <c r="D42" s="41">
        <f>D39</f>
        <v>0</v>
      </c>
      <c r="E42" s="41">
        <f t="shared" si="6"/>
        <v>0</v>
      </c>
      <c r="F42" s="157">
        <f t="shared" si="8"/>
        <v>0</v>
      </c>
      <c r="G42" s="158">
        <f t="shared" si="2"/>
        <v>0</v>
      </c>
      <c r="H42" s="158">
        <f t="shared" si="3"/>
        <v>0</v>
      </c>
      <c r="I42" s="158">
        <f t="shared" si="4"/>
        <v>0</v>
      </c>
      <c r="J42" s="159">
        <f t="shared" si="5"/>
        <v>0</v>
      </c>
      <c r="N42" s="456"/>
      <c r="O42" s="457"/>
      <c r="P42" s="457"/>
      <c r="Q42" s="457"/>
      <c r="R42" s="462"/>
      <c r="S42" s="53">
        <v>3.3</v>
      </c>
      <c r="T42" s="7" t="s">
        <v>42</v>
      </c>
      <c r="U42" s="7" t="s">
        <v>43</v>
      </c>
      <c r="V42" s="7" t="s">
        <v>46</v>
      </c>
      <c r="W42" s="52">
        <v>3.8</v>
      </c>
      <c r="X42" s="3">
        <v>38</v>
      </c>
      <c r="Z42" s="53"/>
      <c r="AA42" s="7"/>
      <c r="AB42" s="7"/>
      <c r="AC42" s="7"/>
      <c r="AD42" s="52"/>
      <c r="AE42" s="3">
        <v>40</v>
      </c>
      <c r="AG42" s="53"/>
      <c r="AH42" s="7"/>
      <c r="AI42" s="7"/>
      <c r="AJ42" s="7"/>
      <c r="AK42" s="52"/>
      <c r="AL42" s="3">
        <v>50</v>
      </c>
      <c r="AN42" s="53"/>
      <c r="AO42" s="7"/>
      <c r="AP42" s="7"/>
      <c r="AQ42" s="7"/>
      <c r="AR42" s="52"/>
      <c r="AS42" s="62">
        <v>49</v>
      </c>
      <c r="AU42" s="53"/>
      <c r="AV42" s="7"/>
      <c r="AW42" s="7"/>
      <c r="AX42" s="7"/>
      <c r="AY42" s="52"/>
      <c r="AZ42" s="62">
        <v>0</v>
      </c>
    </row>
    <row r="43" spans="1:52" x14ac:dyDescent="0.4">
      <c r="A43" s="12">
        <f t="shared" si="7"/>
        <v>29</v>
      </c>
      <c r="B43" s="167">
        <f t="shared" si="0"/>
        <v>0</v>
      </c>
      <c r="C43" s="1">
        <f t="shared" si="12"/>
        <v>0</v>
      </c>
      <c r="D43" s="41">
        <f>D39</f>
        <v>0</v>
      </c>
      <c r="E43" s="41">
        <f t="shared" si="6"/>
        <v>0</v>
      </c>
      <c r="F43" s="157">
        <f t="shared" si="8"/>
        <v>0</v>
      </c>
      <c r="G43" s="158">
        <f t="shared" si="2"/>
        <v>0</v>
      </c>
      <c r="H43" s="158">
        <f t="shared" si="3"/>
        <v>0</v>
      </c>
      <c r="I43" s="158">
        <f t="shared" si="4"/>
        <v>0</v>
      </c>
      <c r="J43" s="159">
        <f t="shared" si="5"/>
        <v>0</v>
      </c>
      <c r="N43" s="456"/>
      <c r="O43" s="457"/>
      <c r="P43" s="457"/>
      <c r="Q43" s="457"/>
      <c r="R43" s="462"/>
      <c r="S43" s="53">
        <v>3.8</v>
      </c>
      <c r="T43" s="7" t="s">
        <v>42</v>
      </c>
      <c r="U43" s="7" t="s">
        <v>43</v>
      </c>
      <c r="V43" s="7" t="s">
        <v>46</v>
      </c>
      <c r="W43" s="52">
        <v>4.3</v>
      </c>
      <c r="X43" s="3">
        <v>36</v>
      </c>
      <c r="Z43" s="53"/>
      <c r="AA43" s="7"/>
      <c r="AB43" s="7"/>
      <c r="AC43" s="7"/>
      <c r="AD43" s="52"/>
      <c r="AE43" s="3">
        <v>38</v>
      </c>
      <c r="AG43" s="53"/>
      <c r="AH43" s="7"/>
      <c r="AI43" s="7"/>
      <c r="AJ43" s="7"/>
      <c r="AK43" s="52"/>
      <c r="AL43" s="3">
        <v>47</v>
      </c>
      <c r="AN43" s="53"/>
      <c r="AO43" s="7"/>
      <c r="AP43" s="7"/>
      <c r="AQ43" s="7"/>
      <c r="AR43" s="52"/>
      <c r="AS43" s="62">
        <v>47</v>
      </c>
      <c r="AU43" s="53"/>
      <c r="AV43" s="7"/>
      <c r="AW43" s="7"/>
      <c r="AX43" s="7"/>
      <c r="AY43" s="52"/>
      <c r="AZ43" s="62">
        <v>0</v>
      </c>
    </row>
    <row r="44" spans="1:52" ht="19.5" thickBot="1" x14ac:dyDescent="0.45">
      <c r="A44" s="12">
        <f t="shared" si="7"/>
        <v>30</v>
      </c>
      <c r="B44" s="167">
        <f t="shared" si="0"/>
        <v>0</v>
      </c>
      <c r="C44" s="43">
        <f t="shared" si="12"/>
        <v>0</v>
      </c>
      <c r="D44" s="42">
        <f>D39</f>
        <v>0</v>
      </c>
      <c r="E44" s="42">
        <f>IF(S44&lt;=ηAH,1,0)</f>
        <v>0</v>
      </c>
      <c r="F44" s="160">
        <f t="shared" si="8"/>
        <v>0</v>
      </c>
      <c r="G44" s="161">
        <f t="shared" si="2"/>
        <v>0</v>
      </c>
      <c r="H44" s="161">
        <f t="shared" si="3"/>
        <v>0</v>
      </c>
      <c r="I44" s="161">
        <f t="shared" si="4"/>
        <v>0</v>
      </c>
      <c r="J44" s="162">
        <f t="shared" si="5"/>
        <v>0</v>
      </c>
      <c r="N44" s="463"/>
      <c r="O44" s="464"/>
      <c r="P44" s="464"/>
      <c r="Q44" s="464"/>
      <c r="R44" s="466"/>
      <c r="S44" s="63">
        <v>4.3</v>
      </c>
      <c r="T44" s="48" t="s">
        <v>42</v>
      </c>
      <c r="U44" s="48" t="s">
        <v>43</v>
      </c>
      <c r="V44" s="48"/>
      <c r="W44" s="67"/>
      <c r="X44" s="65">
        <v>35</v>
      </c>
      <c r="Y44" s="46"/>
      <c r="Z44" s="63"/>
      <c r="AA44" s="48"/>
      <c r="AB44" s="48"/>
      <c r="AC44" s="48"/>
      <c r="AD44" s="67"/>
      <c r="AE44" s="65">
        <v>37</v>
      </c>
      <c r="AF44" s="46"/>
      <c r="AG44" s="63"/>
      <c r="AH44" s="48"/>
      <c r="AI44" s="48"/>
      <c r="AJ44" s="48"/>
      <c r="AK44" s="67"/>
      <c r="AL44" s="65">
        <v>45</v>
      </c>
      <c r="AM44" s="46"/>
      <c r="AN44" s="63"/>
      <c r="AO44" s="48"/>
      <c r="AP44" s="48"/>
      <c r="AQ44" s="48"/>
      <c r="AR44" s="67"/>
      <c r="AS44" s="66">
        <v>45</v>
      </c>
      <c r="AU44" s="63"/>
      <c r="AV44" s="48"/>
      <c r="AW44" s="48"/>
      <c r="AX44" s="48"/>
      <c r="AY44" s="67"/>
      <c r="AZ44" s="66">
        <v>0</v>
      </c>
    </row>
    <row r="45" spans="1:52" x14ac:dyDescent="0.4">
      <c r="A45" s="12">
        <f t="shared" si="7"/>
        <v>31</v>
      </c>
      <c r="B45" s="167">
        <f t="shared" si="0"/>
        <v>0</v>
      </c>
      <c r="C45" s="37">
        <f>IF(AND(D45=1,E45=1),1,0)</f>
        <v>0</v>
      </c>
      <c r="D45" s="41">
        <f>IF(AND(N45&lt;UA値z,UA値z&lt;=R45),1,0)</f>
        <v>0</v>
      </c>
      <c r="E45" s="41">
        <f t="shared" si="6"/>
        <v>1</v>
      </c>
      <c r="F45" s="157">
        <f t="shared" si="8"/>
        <v>52</v>
      </c>
      <c r="G45" s="158">
        <f t="shared" si="2"/>
        <v>54</v>
      </c>
      <c r="H45" s="158">
        <f t="shared" si="3"/>
        <v>63</v>
      </c>
      <c r="I45" s="158">
        <f t="shared" si="4"/>
        <v>62</v>
      </c>
      <c r="J45" s="159">
        <f t="shared" si="5"/>
        <v>0</v>
      </c>
      <c r="N45" s="458">
        <v>1.32</v>
      </c>
      <c r="O45" s="459" t="s">
        <v>46</v>
      </c>
      <c r="P45" s="459" t="s">
        <v>45</v>
      </c>
      <c r="Q45" s="459" t="s">
        <v>42</v>
      </c>
      <c r="R45" s="465">
        <v>1.54</v>
      </c>
      <c r="S45" s="57">
        <v>1.8</v>
      </c>
      <c r="T45" s="47" t="s">
        <v>42</v>
      </c>
      <c r="U45" s="47" t="s">
        <v>43</v>
      </c>
      <c r="V45" s="47" t="s">
        <v>46</v>
      </c>
      <c r="W45" s="58">
        <v>2.2999999999999998</v>
      </c>
      <c r="X45" s="59">
        <v>52</v>
      </c>
      <c r="Y45" s="60"/>
      <c r="Z45" s="57"/>
      <c r="AA45" s="47"/>
      <c r="AB45" s="47"/>
      <c r="AC45" s="47"/>
      <c r="AD45" s="58"/>
      <c r="AE45" s="59">
        <v>54</v>
      </c>
      <c r="AF45" s="60"/>
      <c r="AG45" s="57"/>
      <c r="AH45" s="47"/>
      <c r="AI45" s="47"/>
      <c r="AJ45" s="47"/>
      <c r="AK45" s="58"/>
      <c r="AL45" s="59">
        <v>63</v>
      </c>
      <c r="AM45" s="60"/>
      <c r="AN45" s="57"/>
      <c r="AO45" s="47"/>
      <c r="AP45" s="47"/>
      <c r="AQ45" s="47"/>
      <c r="AR45" s="58"/>
      <c r="AS45" s="61">
        <v>62</v>
      </c>
      <c r="AU45" s="57"/>
      <c r="AV45" s="47"/>
      <c r="AW45" s="47"/>
      <c r="AX45" s="47"/>
      <c r="AY45" s="58"/>
      <c r="AZ45" s="61">
        <v>0</v>
      </c>
    </row>
    <row r="46" spans="1:52" x14ac:dyDescent="0.4">
      <c r="A46" s="12">
        <f t="shared" si="7"/>
        <v>32</v>
      </c>
      <c r="B46" s="167">
        <f t="shared" si="0"/>
        <v>0</v>
      </c>
      <c r="C46" s="1">
        <f t="shared" ref="C46:C50" si="13">IF(AND(D46=1,E46=1),1,0)</f>
        <v>0</v>
      </c>
      <c r="D46" s="41">
        <f>D45</f>
        <v>0</v>
      </c>
      <c r="E46" s="41">
        <f t="shared" si="6"/>
        <v>0</v>
      </c>
      <c r="F46" s="157">
        <f t="shared" si="8"/>
        <v>0</v>
      </c>
      <c r="G46" s="158">
        <f t="shared" si="2"/>
        <v>0</v>
      </c>
      <c r="H46" s="158">
        <f t="shared" si="3"/>
        <v>0</v>
      </c>
      <c r="I46" s="158">
        <f t="shared" si="4"/>
        <v>0</v>
      </c>
      <c r="J46" s="159">
        <f t="shared" si="5"/>
        <v>0</v>
      </c>
      <c r="N46" s="456"/>
      <c r="O46" s="457"/>
      <c r="P46" s="457"/>
      <c r="Q46" s="457"/>
      <c r="R46" s="462"/>
      <c r="S46" s="53">
        <v>2.2999999999999998</v>
      </c>
      <c r="T46" s="7" t="s">
        <v>42</v>
      </c>
      <c r="U46" s="7" t="s">
        <v>43</v>
      </c>
      <c r="V46" s="7" t="s">
        <v>46</v>
      </c>
      <c r="W46" s="52">
        <v>2.8</v>
      </c>
      <c r="X46" s="3">
        <v>50</v>
      </c>
      <c r="Z46" s="53"/>
      <c r="AA46" s="7"/>
      <c r="AB46" s="7"/>
      <c r="AC46" s="7"/>
      <c r="AD46" s="52"/>
      <c r="AE46" s="3">
        <v>51</v>
      </c>
      <c r="AG46" s="53"/>
      <c r="AH46" s="7"/>
      <c r="AI46" s="7"/>
      <c r="AJ46" s="7"/>
      <c r="AK46" s="52"/>
      <c r="AL46" s="3">
        <v>61</v>
      </c>
      <c r="AN46" s="53"/>
      <c r="AO46" s="7"/>
      <c r="AP46" s="7"/>
      <c r="AQ46" s="7"/>
      <c r="AR46" s="52"/>
      <c r="AS46" s="62">
        <v>60</v>
      </c>
      <c r="AU46" s="53"/>
      <c r="AV46" s="7"/>
      <c r="AW46" s="7"/>
      <c r="AX46" s="7"/>
      <c r="AY46" s="52"/>
      <c r="AZ46" s="62">
        <v>0</v>
      </c>
    </row>
    <row r="47" spans="1:52" x14ac:dyDescent="0.4">
      <c r="A47" s="12">
        <f t="shared" si="7"/>
        <v>33</v>
      </c>
      <c r="B47" s="167">
        <f t="shared" si="0"/>
        <v>0</v>
      </c>
      <c r="C47" s="1">
        <f t="shared" si="13"/>
        <v>0</v>
      </c>
      <c r="D47" s="41">
        <f>D45</f>
        <v>0</v>
      </c>
      <c r="E47" s="41">
        <f t="shared" si="6"/>
        <v>0</v>
      </c>
      <c r="F47" s="157">
        <f t="shared" si="8"/>
        <v>0</v>
      </c>
      <c r="G47" s="158">
        <f t="shared" si="2"/>
        <v>0</v>
      </c>
      <c r="H47" s="158">
        <f t="shared" si="3"/>
        <v>0</v>
      </c>
      <c r="I47" s="158">
        <f t="shared" si="4"/>
        <v>0</v>
      </c>
      <c r="J47" s="159">
        <f t="shared" si="5"/>
        <v>0</v>
      </c>
      <c r="N47" s="456"/>
      <c r="O47" s="457"/>
      <c r="P47" s="457"/>
      <c r="Q47" s="457"/>
      <c r="R47" s="462"/>
      <c r="S47" s="53">
        <v>2.8</v>
      </c>
      <c r="T47" s="7" t="s">
        <v>42</v>
      </c>
      <c r="U47" s="7" t="s">
        <v>43</v>
      </c>
      <c r="V47" s="7" t="s">
        <v>46</v>
      </c>
      <c r="W47" s="52">
        <v>3.3</v>
      </c>
      <c r="X47" s="3">
        <v>48</v>
      </c>
      <c r="Z47" s="53"/>
      <c r="AA47" s="7"/>
      <c r="AB47" s="7"/>
      <c r="AC47" s="7"/>
      <c r="AD47" s="52"/>
      <c r="AE47" s="3">
        <v>49</v>
      </c>
      <c r="AG47" s="53"/>
      <c r="AH47" s="7"/>
      <c r="AI47" s="7"/>
      <c r="AJ47" s="7"/>
      <c r="AK47" s="52"/>
      <c r="AL47" s="3">
        <v>59</v>
      </c>
      <c r="AN47" s="53"/>
      <c r="AO47" s="7"/>
      <c r="AP47" s="7"/>
      <c r="AQ47" s="7"/>
      <c r="AR47" s="52"/>
      <c r="AS47" s="62">
        <v>58</v>
      </c>
      <c r="AU47" s="53"/>
      <c r="AV47" s="7"/>
      <c r="AW47" s="7"/>
      <c r="AX47" s="7"/>
      <c r="AY47" s="52"/>
      <c r="AZ47" s="62">
        <v>0</v>
      </c>
    </row>
    <row r="48" spans="1:52" x14ac:dyDescent="0.4">
      <c r="A48" s="12">
        <f t="shared" si="7"/>
        <v>34</v>
      </c>
      <c r="B48" s="167">
        <f t="shared" si="0"/>
        <v>0</v>
      </c>
      <c r="C48" s="1">
        <f t="shared" si="13"/>
        <v>0</v>
      </c>
      <c r="D48" s="41">
        <f>D45</f>
        <v>0</v>
      </c>
      <c r="E48" s="41">
        <f t="shared" si="6"/>
        <v>0</v>
      </c>
      <c r="F48" s="157">
        <f t="shared" si="8"/>
        <v>0</v>
      </c>
      <c r="G48" s="158">
        <f t="shared" si="2"/>
        <v>0</v>
      </c>
      <c r="H48" s="158">
        <f t="shared" si="3"/>
        <v>0</v>
      </c>
      <c r="I48" s="158">
        <f t="shared" si="4"/>
        <v>0</v>
      </c>
      <c r="J48" s="159">
        <f t="shared" si="5"/>
        <v>0</v>
      </c>
      <c r="N48" s="456"/>
      <c r="O48" s="457"/>
      <c r="P48" s="457"/>
      <c r="Q48" s="457"/>
      <c r="R48" s="462"/>
      <c r="S48" s="53">
        <v>3.3</v>
      </c>
      <c r="T48" s="7" t="s">
        <v>42</v>
      </c>
      <c r="U48" s="7" t="s">
        <v>43</v>
      </c>
      <c r="V48" s="7" t="s">
        <v>46</v>
      </c>
      <c r="W48" s="52">
        <v>3.8</v>
      </c>
      <c r="X48" s="3">
        <v>46</v>
      </c>
      <c r="Z48" s="53"/>
      <c r="AA48" s="7"/>
      <c r="AB48" s="7"/>
      <c r="AC48" s="7"/>
      <c r="AD48" s="52"/>
      <c r="AE48" s="3">
        <v>47</v>
      </c>
      <c r="AG48" s="53"/>
      <c r="AH48" s="7"/>
      <c r="AI48" s="7"/>
      <c r="AJ48" s="7"/>
      <c r="AK48" s="52"/>
      <c r="AL48" s="3">
        <v>57</v>
      </c>
      <c r="AN48" s="53"/>
      <c r="AO48" s="7"/>
      <c r="AP48" s="7"/>
      <c r="AQ48" s="7"/>
      <c r="AR48" s="52"/>
      <c r="AS48" s="62">
        <v>56</v>
      </c>
      <c r="AU48" s="53"/>
      <c r="AV48" s="7"/>
      <c r="AW48" s="7"/>
      <c r="AX48" s="7"/>
      <c r="AY48" s="52"/>
      <c r="AZ48" s="62">
        <v>0</v>
      </c>
    </row>
    <row r="49" spans="1:52" x14ac:dyDescent="0.4">
      <c r="A49" s="12">
        <f t="shared" si="7"/>
        <v>35</v>
      </c>
      <c r="B49" s="167">
        <f t="shared" si="0"/>
        <v>0</v>
      </c>
      <c r="C49" s="1">
        <f t="shared" si="13"/>
        <v>0</v>
      </c>
      <c r="D49" s="41">
        <f>D45</f>
        <v>0</v>
      </c>
      <c r="E49" s="41">
        <f t="shared" si="6"/>
        <v>0</v>
      </c>
      <c r="F49" s="157">
        <f t="shared" si="8"/>
        <v>0</v>
      </c>
      <c r="G49" s="158">
        <f t="shared" si="2"/>
        <v>0</v>
      </c>
      <c r="H49" s="158">
        <f t="shared" si="3"/>
        <v>0</v>
      </c>
      <c r="I49" s="158">
        <f t="shared" si="4"/>
        <v>0</v>
      </c>
      <c r="J49" s="159">
        <f t="shared" si="5"/>
        <v>0</v>
      </c>
      <c r="N49" s="456"/>
      <c r="O49" s="457"/>
      <c r="P49" s="457"/>
      <c r="Q49" s="457"/>
      <c r="R49" s="462"/>
      <c r="S49" s="53">
        <v>3.8</v>
      </c>
      <c r="T49" s="7" t="s">
        <v>42</v>
      </c>
      <c r="U49" s="7" t="s">
        <v>43</v>
      </c>
      <c r="V49" s="7" t="s">
        <v>46</v>
      </c>
      <c r="W49" s="52">
        <v>4.3</v>
      </c>
      <c r="X49" s="3">
        <v>44</v>
      </c>
      <c r="Z49" s="53"/>
      <c r="AA49" s="7"/>
      <c r="AB49" s="7"/>
      <c r="AC49" s="7"/>
      <c r="AD49" s="52"/>
      <c r="AE49" s="3">
        <v>46</v>
      </c>
      <c r="AG49" s="53"/>
      <c r="AH49" s="7"/>
      <c r="AI49" s="7"/>
      <c r="AJ49" s="7"/>
      <c r="AK49" s="52"/>
      <c r="AL49" s="3">
        <v>55</v>
      </c>
      <c r="AN49" s="53"/>
      <c r="AO49" s="7"/>
      <c r="AP49" s="7"/>
      <c r="AQ49" s="7"/>
      <c r="AR49" s="52"/>
      <c r="AS49" s="62">
        <v>54</v>
      </c>
      <c r="AU49" s="53"/>
      <c r="AV49" s="7"/>
      <c r="AW49" s="7"/>
      <c r="AX49" s="7"/>
      <c r="AY49" s="52"/>
      <c r="AZ49" s="62">
        <v>0</v>
      </c>
    </row>
    <row r="50" spans="1:52" ht="19.5" thickBot="1" x14ac:dyDescent="0.45">
      <c r="A50" s="12">
        <f t="shared" si="7"/>
        <v>36</v>
      </c>
      <c r="B50" s="167">
        <f t="shared" si="0"/>
        <v>0</v>
      </c>
      <c r="C50" s="43">
        <f t="shared" si="13"/>
        <v>0</v>
      </c>
      <c r="D50" s="41">
        <f>D45</f>
        <v>0</v>
      </c>
      <c r="E50" s="41">
        <f>IF(S50&lt;=ηAH,1,0)</f>
        <v>0</v>
      </c>
      <c r="F50" s="157">
        <f t="shared" si="8"/>
        <v>0</v>
      </c>
      <c r="G50" s="158">
        <f t="shared" si="2"/>
        <v>0</v>
      </c>
      <c r="H50" s="158">
        <f t="shared" si="3"/>
        <v>0</v>
      </c>
      <c r="I50" s="158">
        <f t="shared" si="4"/>
        <v>0</v>
      </c>
      <c r="J50" s="159">
        <f t="shared" si="5"/>
        <v>0</v>
      </c>
      <c r="N50" s="463"/>
      <c r="O50" s="464"/>
      <c r="P50" s="464"/>
      <c r="Q50" s="464"/>
      <c r="R50" s="466"/>
      <c r="S50" s="63">
        <v>4.3</v>
      </c>
      <c r="T50" s="48" t="s">
        <v>42</v>
      </c>
      <c r="U50" s="48" t="s">
        <v>43</v>
      </c>
      <c r="V50" s="48"/>
      <c r="W50" s="67"/>
      <c r="X50" s="65">
        <v>42</v>
      </c>
      <c r="Y50" s="46"/>
      <c r="Z50" s="63"/>
      <c r="AA50" s="48"/>
      <c r="AB50" s="48"/>
      <c r="AC50" s="48"/>
      <c r="AD50" s="67"/>
      <c r="AE50" s="65">
        <v>44</v>
      </c>
      <c r="AF50" s="46"/>
      <c r="AG50" s="63"/>
      <c r="AH50" s="48"/>
      <c r="AI50" s="48"/>
      <c r="AJ50" s="48"/>
      <c r="AK50" s="67"/>
      <c r="AL50" s="65">
        <v>52</v>
      </c>
      <c r="AM50" s="46"/>
      <c r="AN50" s="63"/>
      <c r="AO50" s="48"/>
      <c r="AP50" s="48"/>
      <c r="AQ50" s="48"/>
      <c r="AR50" s="67"/>
      <c r="AS50" s="66">
        <v>52</v>
      </c>
      <c r="AU50" s="63"/>
      <c r="AV50" s="48"/>
      <c r="AW50" s="48"/>
      <c r="AX50" s="48"/>
      <c r="AY50" s="67"/>
      <c r="AZ50" s="66">
        <v>0</v>
      </c>
    </row>
    <row r="51" spans="1:52" ht="19.5" thickBot="1" x14ac:dyDescent="0.45">
      <c r="A51" s="12">
        <f t="shared" si="7"/>
        <v>37</v>
      </c>
      <c r="B51" s="167">
        <f t="shared" si="0"/>
        <v>0</v>
      </c>
      <c r="C51" s="5">
        <f>IF(AND(D51=1,E51=1),1,0)</f>
        <v>0</v>
      </c>
      <c r="D51" s="3">
        <f>IF(AND(N51&lt;UA値z,UA値z&lt;=R51),1,0)</f>
        <v>0</v>
      </c>
      <c r="E51" s="3">
        <f>IF(S51&lt;=ηAH,1,0)</f>
        <v>1</v>
      </c>
      <c r="F51" s="163">
        <f t="shared" si="8"/>
        <v>58</v>
      </c>
      <c r="G51" s="164">
        <f t="shared" si="2"/>
        <v>61</v>
      </c>
      <c r="H51" s="164">
        <f t="shared" si="3"/>
        <v>67</v>
      </c>
      <c r="I51" s="164">
        <f t="shared" si="4"/>
        <v>67</v>
      </c>
      <c r="J51" s="165">
        <f t="shared" si="5"/>
        <v>0</v>
      </c>
      <c r="N51" s="49">
        <v>1.54</v>
      </c>
      <c r="O51" s="50" t="s">
        <v>46</v>
      </c>
      <c r="P51" s="50" t="s">
        <v>45</v>
      </c>
      <c r="Q51" s="50" t="s">
        <v>42</v>
      </c>
      <c r="R51" s="68">
        <v>1.67</v>
      </c>
      <c r="S51" s="69">
        <v>1.8</v>
      </c>
      <c r="T51" s="50" t="s">
        <v>42</v>
      </c>
      <c r="U51" s="50" t="s">
        <v>43</v>
      </c>
      <c r="V51" s="50"/>
      <c r="W51" s="68"/>
      <c r="X51" s="55">
        <v>58</v>
      </c>
      <c r="Y51" s="50"/>
      <c r="Z51" s="69"/>
      <c r="AA51" s="50"/>
      <c r="AB51" s="50"/>
      <c r="AC51" s="50"/>
      <c r="AD51" s="68"/>
      <c r="AE51" s="55">
        <v>61</v>
      </c>
      <c r="AF51" s="50"/>
      <c r="AG51" s="69"/>
      <c r="AH51" s="50"/>
      <c r="AI51" s="50"/>
      <c r="AJ51" s="50"/>
      <c r="AK51" s="68"/>
      <c r="AL51" s="55">
        <v>67</v>
      </c>
      <c r="AM51" s="50"/>
      <c r="AN51" s="69"/>
      <c r="AO51" s="50"/>
      <c r="AP51" s="50"/>
      <c r="AQ51" s="50"/>
      <c r="AR51" s="68"/>
      <c r="AS51" s="56">
        <v>67</v>
      </c>
      <c r="AU51" s="69"/>
      <c r="AV51" s="50"/>
      <c r="AW51" s="50"/>
      <c r="AX51" s="50"/>
      <c r="AY51" s="68"/>
      <c r="AZ51" s="56">
        <v>0</v>
      </c>
    </row>
    <row r="52" spans="1:52" ht="19.5" thickBot="1" x14ac:dyDescent="0.45">
      <c r="A52" s="13">
        <f t="shared" si="7"/>
        <v>38</v>
      </c>
      <c r="B52" s="167">
        <f t="shared" si="0"/>
        <v>0</v>
      </c>
      <c r="C52" s="43">
        <f>IF(AND(D52=1,E52=1),1,0)</f>
        <v>0</v>
      </c>
      <c r="D52" s="42">
        <f>IF(N52&lt;UA値z,1,0)</f>
        <v>0</v>
      </c>
      <c r="E52" s="42">
        <f>IF(S52&lt;=ηAH,1,0)</f>
        <v>1</v>
      </c>
      <c r="F52" s="160">
        <f t="shared" si="8"/>
        <v>310</v>
      </c>
      <c r="G52" s="161">
        <f t="shared" si="2"/>
        <v>316</v>
      </c>
      <c r="H52" s="161">
        <f t="shared" si="3"/>
        <v>247</v>
      </c>
      <c r="I52" s="161">
        <f t="shared" si="4"/>
        <v>247</v>
      </c>
      <c r="J52" s="162">
        <f t="shared" si="5"/>
        <v>0</v>
      </c>
      <c r="N52" s="49">
        <v>1.67</v>
      </c>
      <c r="O52" s="50" t="s">
        <v>46</v>
      </c>
      <c r="P52" s="50" t="s">
        <v>45</v>
      </c>
      <c r="Q52" s="50"/>
      <c r="R52" s="68"/>
      <c r="S52" s="69">
        <v>1.8</v>
      </c>
      <c r="T52" s="50" t="s">
        <v>42</v>
      </c>
      <c r="U52" s="50" t="s">
        <v>43</v>
      </c>
      <c r="V52" s="50"/>
      <c r="W52" s="68"/>
      <c r="X52" s="55">
        <v>310</v>
      </c>
      <c r="Y52" s="50"/>
      <c r="Z52" s="69"/>
      <c r="AA52" s="50"/>
      <c r="AB52" s="50"/>
      <c r="AC52" s="50"/>
      <c r="AD52" s="68"/>
      <c r="AE52" s="55">
        <v>316</v>
      </c>
      <c r="AF52" s="50"/>
      <c r="AG52" s="69"/>
      <c r="AH52" s="50"/>
      <c r="AI52" s="50"/>
      <c r="AJ52" s="50"/>
      <c r="AK52" s="68"/>
      <c r="AL52" s="55">
        <v>247</v>
      </c>
      <c r="AM52" s="50"/>
      <c r="AN52" s="69"/>
      <c r="AO52" s="50"/>
      <c r="AP52" s="50"/>
      <c r="AQ52" s="50"/>
      <c r="AR52" s="68"/>
      <c r="AS52" s="56">
        <v>247</v>
      </c>
      <c r="AU52" s="69"/>
      <c r="AV52" s="50"/>
      <c r="AW52" s="50"/>
      <c r="AX52" s="50"/>
      <c r="AY52" s="68"/>
      <c r="AZ52" s="56">
        <v>0</v>
      </c>
    </row>
    <row r="53" spans="1:52" x14ac:dyDescent="0.4">
      <c r="A53" s="447" t="s">
        <v>245</v>
      </c>
      <c r="B53" s="449">
        <f>SUM(B15:B52)</f>
        <v>26</v>
      </c>
    </row>
    <row r="54" spans="1:52" ht="19.5" thickBot="1" x14ac:dyDescent="0.45">
      <c r="A54" s="448"/>
      <c r="B54" s="450"/>
      <c r="M54" t="s">
        <v>131</v>
      </c>
    </row>
    <row r="55" spans="1:52" x14ac:dyDescent="0.4">
      <c r="S55" s="467" t="s">
        <v>167</v>
      </c>
      <c r="T55" s="467"/>
      <c r="U55" s="467"/>
      <c r="V55" s="467"/>
      <c r="W55" s="467"/>
      <c r="X55" s="467"/>
      <c r="Z55" s="467" t="s">
        <v>167</v>
      </c>
      <c r="AA55" s="473"/>
      <c r="AB55" s="473"/>
      <c r="AC55" s="473"/>
      <c r="AD55" s="473"/>
      <c r="AE55" s="473"/>
      <c r="AG55" s="467" t="s">
        <v>167</v>
      </c>
      <c r="AH55" s="467"/>
      <c r="AI55" s="467"/>
      <c r="AJ55" s="467"/>
      <c r="AK55" s="467"/>
      <c r="AL55" s="467"/>
      <c r="AN55" s="467" t="s">
        <v>167</v>
      </c>
      <c r="AO55" s="467"/>
      <c r="AP55" s="467"/>
      <c r="AQ55" s="467"/>
      <c r="AR55" s="467"/>
      <c r="AS55" s="467"/>
      <c r="AU55" s="467" t="s">
        <v>172</v>
      </c>
      <c r="AV55" s="467"/>
      <c r="AW55" s="467"/>
      <c r="AX55" s="467"/>
      <c r="AY55" s="467"/>
      <c r="AZ55" s="467"/>
    </row>
    <row r="56" spans="1:52" x14ac:dyDescent="0.4">
      <c r="S56" s="467"/>
      <c r="T56" s="467"/>
      <c r="U56" s="467"/>
      <c r="V56" s="467"/>
      <c r="W56" s="467"/>
      <c r="X56" s="467"/>
      <c r="Z56" s="467"/>
      <c r="AA56" s="473"/>
      <c r="AB56" s="473"/>
      <c r="AC56" s="473"/>
      <c r="AD56" s="473"/>
      <c r="AE56" s="473"/>
      <c r="AG56" s="467"/>
      <c r="AH56" s="467"/>
      <c r="AI56" s="467"/>
      <c r="AJ56" s="467"/>
      <c r="AK56" s="467"/>
      <c r="AL56" s="467"/>
      <c r="AN56" s="467"/>
      <c r="AO56" s="467"/>
      <c r="AP56" s="467"/>
      <c r="AQ56" s="467"/>
      <c r="AR56" s="467"/>
      <c r="AS56" s="467"/>
      <c r="AU56" s="467"/>
      <c r="AV56" s="467"/>
      <c r="AW56" s="467"/>
      <c r="AX56" s="467"/>
      <c r="AY56" s="467"/>
      <c r="AZ56" s="467"/>
    </row>
    <row r="57" spans="1:52" x14ac:dyDescent="0.4">
      <c r="S57" s="467"/>
      <c r="T57" s="467"/>
      <c r="U57" s="467"/>
      <c r="V57" s="467"/>
      <c r="W57" s="467"/>
      <c r="X57" s="467"/>
      <c r="Z57" s="467"/>
      <c r="AA57" s="473"/>
      <c r="AB57" s="473"/>
      <c r="AC57" s="473"/>
      <c r="AD57" s="473"/>
      <c r="AE57" s="473"/>
      <c r="AG57" s="467"/>
      <c r="AH57" s="467"/>
      <c r="AI57" s="467"/>
      <c r="AJ57" s="467"/>
      <c r="AK57" s="467"/>
      <c r="AL57" s="467"/>
      <c r="AN57" s="467"/>
      <c r="AO57" s="467"/>
      <c r="AP57" s="467"/>
      <c r="AQ57" s="467"/>
      <c r="AR57" s="467"/>
      <c r="AS57" s="467"/>
      <c r="AU57" s="467"/>
      <c r="AV57" s="467"/>
      <c r="AW57" s="467"/>
      <c r="AX57" s="467"/>
      <c r="AY57" s="467"/>
      <c r="AZ57" s="467"/>
    </row>
    <row r="58" spans="1:52" x14ac:dyDescent="0.4">
      <c r="S58" s="467"/>
      <c r="T58" s="467"/>
      <c r="U58" s="467"/>
      <c r="V58" s="467"/>
      <c r="W58" s="467"/>
      <c r="X58" s="467"/>
      <c r="Z58" s="473"/>
      <c r="AA58" s="473"/>
      <c r="AB58" s="473"/>
      <c r="AC58" s="473"/>
      <c r="AD58" s="473"/>
      <c r="AE58" s="473"/>
      <c r="AG58" s="467"/>
      <c r="AH58" s="467"/>
      <c r="AI58" s="467"/>
      <c r="AJ58" s="467"/>
      <c r="AK58" s="467"/>
      <c r="AL58" s="467"/>
      <c r="AN58" s="467"/>
      <c r="AO58" s="467"/>
      <c r="AP58" s="467"/>
      <c r="AQ58" s="467"/>
      <c r="AR58" s="467"/>
      <c r="AS58" s="467"/>
      <c r="AU58" s="467"/>
      <c r="AV58" s="467"/>
      <c r="AW58" s="467"/>
      <c r="AX58" s="467"/>
      <c r="AY58" s="467"/>
      <c r="AZ58" s="467"/>
    </row>
    <row r="59" spans="1:52" x14ac:dyDescent="0.4">
      <c r="S59" s="467"/>
      <c r="T59" s="467"/>
      <c r="U59" s="467"/>
      <c r="V59" s="467"/>
      <c r="W59" s="467"/>
      <c r="X59" s="467"/>
      <c r="Z59" s="473"/>
      <c r="AA59" s="473"/>
      <c r="AB59" s="473"/>
      <c r="AC59" s="473"/>
      <c r="AD59" s="473"/>
      <c r="AE59" s="473"/>
      <c r="AG59" s="467"/>
      <c r="AH59" s="467"/>
      <c r="AI59" s="467"/>
      <c r="AJ59" s="467"/>
      <c r="AK59" s="467"/>
      <c r="AL59" s="467"/>
      <c r="AN59" s="467"/>
      <c r="AO59" s="467"/>
      <c r="AP59" s="467"/>
      <c r="AQ59" s="467"/>
      <c r="AR59" s="467"/>
      <c r="AS59" s="467"/>
      <c r="AU59" s="467"/>
      <c r="AV59" s="467"/>
      <c r="AW59" s="467"/>
      <c r="AX59" s="467"/>
      <c r="AY59" s="467"/>
      <c r="AZ59" s="467"/>
    </row>
    <row r="60" spans="1:52" x14ac:dyDescent="0.4">
      <c r="B60" s="444" t="s">
        <v>246</v>
      </c>
      <c r="C60" s="445"/>
      <c r="D60" s="445"/>
      <c r="E60" s="445"/>
      <c r="F60" s="445"/>
      <c r="G60" s="445"/>
      <c r="H60" s="445"/>
      <c r="I60" s="445"/>
      <c r="J60" s="445"/>
      <c r="K60" s="12"/>
      <c r="S60" s="467"/>
      <c r="T60" s="467"/>
      <c r="U60" s="467"/>
      <c r="V60" s="467"/>
      <c r="W60" s="467"/>
      <c r="X60" s="467"/>
      <c r="Z60" s="473"/>
      <c r="AA60" s="473"/>
      <c r="AB60" s="473"/>
      <c r="AC60" s="473"/>
      <c r="AD60" s="473"/>
      <c r="AE60" s="473"/>
      <c r="AG60" s="467"/>
      <c r="AH60" s="467"/>
      <c r="AI60" s="467"/>
      <c r="AJ60" s="467"/>
      <c r="AK60" s="467"/>
      <c r="AL60" s="467"/>
      <c r="AN60" s="467"/>
      <c r="AO60" s="467"/>
      <c r="AP60" s="467"/>
      <c r="AQ60" s="467"/>
      <c r="AR60" s="467"/>
      <c r="AS60" s="467"/>
      <c r="AU60" s="467"/>
      <c r="AV60" s="467"/>
      <c r="AW60" s="467"/>
      <c r="AX60" s="467"/>
      <c r="AY60" s="467"/>
      <c r="AZ60" s="467"/>
    </row>
    <row r="61" spans="1:52" ht="19.5" thickBot="1" x14ac:dyDescent="0.45">
      <c r="B61" s="451" t="s">
        <v>235</v>
      </c>
      <c r="C61" s="452"/>
      <c r="D61" s="454" t="s">
        <v>45</v>
      </c>
      <c r="E61" s="454" t="s">
        <v>203</v>
      </c>
      <c r="F61" s="444" t="s">
        <v>44</v>
      </c>
      <c r="G61" s="445"/>
      <c r="H61" s="445"/>
      <c r="I61" s="445"/>
      <c r="J61" s="445"/>
      <c r="K61" s="12"/>
      <c r="S61" s="468"/>
      <c r="T61" s="468"/>
      <c r="U61" s="468"/>
      <c r="V61" s="468"/>
      <c r="W61" s="468"/>
      <c r="X61" s="468"/>
      <c r="Z61" s="474"/>
      <c r="AA61" s="474"/>
      <c r="AB61" s="474"/>
      <c r="AC61" s="474"/>
      <c r="AD61" s="474"/>
      <c r="AE61" s="474"/>
      <c r="AG61" s="468"/>
      <c r="AH61" s="468"/>
      <c r="AI61" s="468"/>
      <c r="AJ61" s="468"/>
      <c r="AK61" s="468"/>
      <c r="AL61" s="468"/>
      <c r="AN61" s="468"/>
      <c r="AO61" s="468"/>
      <c r="AP61" s="468"/>
      <c r="AQ61" s="468"/>
      <c r="AR61" s="468"/>
      <c r="AS61" s="468"/>
      <c r="AU61" s="468"/>
      <c r="AV61" s="468"/>
      <c r="AW61" s="468"/>
      <c r="AX61" s="468"/>
      <c r="AY61" s="468"/>
      <c r="AZ61" s="468"/>
    </row>
    <row r="62" spans="1:52" ht="19.5" thickBot="1" x14ac:dyDescent="0.45">
      <c r="A62" s="3" t="s">
        <v>244</v>
      </c>
      <c r="B62" s="41" t="s">
        <v>44</v>
      </c>
      <c r="C62" s="42" t="s">
        <v>242</v>
      </c>
      <c r="D62" s="455"/>
      <c r="E62" s="455"/>
      <c r="F62" s="3">
        <v>1</v>
      </c>
      <c r="G62" s="3">
        <v>2</v>
      </c>
      <c r="H62" s="3">
        <v>3</v>
      </c>
      <c r="I62" s="3">
        <v>4</v>
      </c>
      <c r="J62" s="3">
        <v>5</v>
      </c>
      <c r="N62" s="460" t="s">
        <v>41</v>
      </c>
      <c r="O62" s="461"/>
      <c r="P62" s="461"/>
      <c r="Q62" s="461"/>
      <c r="R62" s="461"/>
      <c r="S62" s="461" t="s">
        <v>230</v>
      </c>
      <c r="T62" s="461"/>
      <c r="U62" s="461"/>
      <c r="V62" s="461"/>
      <c r="W62" s="461"/>
      <c r="X62" s="55" t="s">
        <v>44</v>
      </c>
      <c r="Y62" s="50"/>
      <c r="Z62" s="461" t="s">
        <v>230</v>
      </c>
      <c r="AA62" s="461"/>
      <c r="AB62" s="461"/>
      <c r="AC62" s="461"/>
      <c r="AD62" s="461"/>
      <c r="AE62" s="55" t="s">
        <v>44</v>
      </c>
      <c r="AF62" s="50"/>
      <c r="AG62" s="461" t="s">
        <v>230</v>
      </c>
      <c r="AH62" s="461"/>
      <c r="AI62" s="461"/>
      <c r="AJ62" s="461"/>
      <c r="AK62" s="461"/>
      <c r="AL62" s="55" t="s">
        <v>44</v>
      </c>
      <c r="AM62" s="50"/>
      <c r="AN62" s="461" t="s">
        <v>230</v>
      </c>
      <c r="AO62" s="461"/>
      <c r="AP62" s="461"/>
      <c r="AQ62" s="461"/>
      <c r="AR62" s="461"/>
      <c r="AS62" s="56" t="s">
        <v>44</v>
      </c>
      <c r="AU62" s="461" t="s">
        <v>230</v>
      </c>
      <c r="AV62" s="461"/>
      <c r="AW62" s="461"/>
      <c r="AX62" s="461"/>
      <c r="AY62" s="461"/>
      <c r="AZ62" s="56" t="s">
        <v>44</v>
      </c>
    </row>
    <row r="63" spans="1:52" x14ac:dyDescent="0.4">
      <c r="A63" s="38">
        <v>1</v>
      </c>
      <c r="B63" s="149">
        <f t="shared" ref="B63:B98" si="14">IF(C63=1,INDEX(冷房設備配列6地域,A63,暖房方式番号Z),0)</f>
        <v>0</v>
      </c>
      <c r="C63" s="40">
        <f>IF(AND(D63=1,E63=1),1,0)</f>
        <v>0</v>
      </c>
      <c r="D63" s="40">
        <f>IF(AND(N63&lt;=UA値z,UA値z&lt;R63),1,0)</f>
        <v>1</v>
      </c>
      <c r="E63" s="40">
        <f>IF(ηAC値Z&lt;=W63,1,0)</f>
        <v>0</v>
      </c>
      <c r="F63" s="154">
        <f t="shared" ref="F63:F69" si="15">IF(E63=1,X63,0)</f>
        <v>0</v>
      </c>
      <c r="G63" s="155">
        <f t="shared" ref="G63:G98" si="16">IF(E63=1,AE63,0)</f>
        <v>0</v>
      </c>
      <c r="H63" s="155">
        <f t="shared" ref="H63:H98" si="17">IF(E63=1,AL63,0)</f>
        <v>0</v>
      </c>
      <c r="I63" s="155">
        <f t="shared" ref="I63:I98" si="18">IF(E63=1,AS63,0)</f>
        <v>0</v>
      </c>
      <c r="J63" s="156">
        <f t="shared" ref="J63:J98" si="19">IF(E63=1,AZ63,0)</f>
        <v>0</v>
      </c>
      <c r="N63" s="458">
        <v>0.6</v>
      </c>
      <c r="O63" s="459" t="s">
        <v>42</v>
      </c>
      <c r="P63" s="459" t="s">
        <v>45</v>
      </c>
      <c r="Q63" s="459" t="s">
        <v>46</v>
      </c>
      <c r="R63" s="465">
        <v>0.69</v>
      </c>
      <c r="S63" s="70"/>
      <c r="T63" s="47"/>
      <c r="U63" s="47" t="s">
        <v>47</v>
      </c>
      <c r="V63" s="47" t="s">
        <v>42</v>
      </c>
      <c r="W63" s="58">
        <v>1.8</v>
      </c>
      <c r="X63" s="59">
        <v>8</v>
      </c>
      <c r="Y63" s="60"/>
      <c r="Z63" s="70"/>
      <c r="AA63" s="47"/>
      <c r="AB63" s="47"/>
      <c r="AC63" s="47"/>
      <c r="AD63" s="58"/>
      <c r="AE63" s="59">
        <v>9</v>
      </c>
      <c r="AF63" s="60"/>
      <c r="AG63" s="70"/>
      <c r="AH63" s="47"/>
      <c r="AI63" s="47"/>
      <c r="AJ63" s="47"/>
      <c r="AK63" s="58"/>
      <c r="AL63" s="59">
        <v>9</v>
      </c>
      <c r="AM63" s="60"/>
      <c r="AN63" s="70"/>
      <c r="AO63" s="47"/>
      <c r="AP63" s="47"/>
      <c r="AQ63" s="47"/>
      <c r="AR63" s="58"/>
      <c r="AS63" s="61">
        <v>9</v>
      </c>
      <c r="AU63" s="70"/>
      <c r="AV63" s="47"/>
      <c r="AW63" s="47"/>
      <c r="AX63" s="47"/>
      <c r="AY63" s="58"/>
      <c r="AZ63" s="61">
        <v>0</v>
      </c>
    </row>
    <row r="64" spans="1:52" x14ac:dyDescent="0.4">
      <c r="A64" s="12">
        <f>A63+1</f>
        <v>2</v>
      </c>
      <c r="B64" s="77">
        <f t="shared" si="14"/>
        <v>10</v>
      </c>
      <c r="C64" s="41">
        <f>IF(AND(D64=1,E64=1),1,0)</f>
        <v>1</v>
      </c>
      <c r="D64" s="41">
        <f>D63</f>
        <v>1</v>
      </c>
      <c r="E64" s="41">
        <f>IF(AND(S64&lt;ηAC値Z,ηAC値Z&lt;=W64),1,0)</f>
        <v>1</v>
      </c>
      <c r="F64" s="157">
        <f>IF(E64=1,X64,0)</f>
        <v>10</v>
      </c>
      <c r="G64" s="158">
        <f t="shared" si="16"/>
        <v>10</v>
      </c>
      <c r="H64" s="158">
        <f t="shared" si="17"/>
        <v>10</v>
      </c>
      <c r="I64" s="158">
        <f t="shared" si="18"/>
        <v>10</v>
      </c>
      <c r="J64" s="159">
        <f t="shared" si="19"/>
        <v>0</v>
      </c>
      <c r="N64" s="456"/>
      <c r="O64" s="457"/>
      <c r="P64" s="457"/>
      <c r="Q64" s="457"/>
      <c r="R64" s="462"/>
      <c r="S64" s="53">
        <v>1.8</v>
      </c>
      <c r="T64" s="7" t="s">
        <v>46</v>
      </c>
      <c r="U64" s="7" t="s">
        <v>47</v>
      </c>
      <c r="V64" s="7" t="s">
        <v>42</v>
      </c>
      <c r="W64" s="52">
        <v>2.2999999999999998</v>
      </c>
      <c r="X64" s="3">
        <v>10</v>
      </c>
      <c r="Z64" s="53"/>
      <c r="AA64" s="7"/>
      <c r="AB64" s="7"/>
      <c r="AC64" s="7"/>
      <c r="AD64" s="52"/>
      <c r="AE64" s="3">
        <v>10</v>
      </c>
      <c r="AG64" s="53"/>
      <c r="AH64" s="7"/>
      <c r="AI64" s="7"/>
      <c r="AJ64" s="7"/>
      <c r="AK64" s="52"/>
      <c r="AL64" s="3">
        <v>10</v>
      </c>
      <c r="AN64" s="53"/>
      <c r="AO64" s="7"/>
      <c r="AP64" s="7"/>
      <c r="AQ64" s="7"/>
      <c r="AR64" s="52"/>
      <c r="AS64" s="62">
        <v>10</v>
      </c>
      <c r="AU64" s="53"/>
      <c r="AV64" s="7"/>
      <c r="AW64" s="7"/>
      <c r="AX64" s="7"/>
      <c r="AY64" s="52"/>
      <c r="AZ64" s="62">
        <v>0</v>
      </c>
    </row>
    <row r="65" spans="1:52" x14ac:dyDescent="0.4">
      <c r="A65" s="12">
        <f t="shared" ref="A65:A98" si="20">A64+1</f>
        <v>3</v>
      </c>
      <c r="B65" s="77">
        <f t="shared" si="14"/>
        <v>0</v>
      </c>
      <c r="C65" s="41">
        <f t="shared" ref="C65:C97" si="21">IF(AND(D65=1,E65=1),1,0)</f>
        <v>0</v>
      </c>
      <c r="D65" s="41">
        <f>D63</f>
        <v>1</v>
      </c>
      <c r="E65" s="41">
        <f>IF(AND(S65&lt;ηAC値Z,ηAC値Z&lt;=W65),1,0)</f>
        <v>0</v>
      </c>
      <c r="F65" s="157">
        <f t="shared" si="15"/>
        <v>0</v>
      </c>
      <c r="G65" s="158">
        <f t="shared" si="16"/>
        <v>0</v>
      </c>
      <c r="H65" s="158">
        <f t="shared" si="17"/>
        <v>0</v>
      </c>
      <c r="I65" s="158">
        <f t="shared" si="18"/>
        <v>0</v>
      </c>
      <c r="J65" s="159">
        <f t="shared" si="19"/>
        <v>0</v>
      </c>
      <c r="N65" s="456"/>
      <c r="O65" s="457"/>
      <c r="P65" s="457"/>
      <c r="Q65" s="457"/>
      <c r="R65" s="462"/>
      <c r="S65" s="53">
        <v>2.2999999999999998</v>
      </c>
      <c r="T65" s="7" t="s">
        <v>46</v>
      </c>
      <c r="U65" s="7" t="s">
        <v>47</v>
      </c>
      <c r="V65" s="7" t="s">
        <v>42</v>
      </c>
      <c r="W65" s="52">
        <v>2.8</v>
      </c>
      <c r="X65" s="3">
        <v>11</v>
      </c>
      <c r="Z65" s="53"/>
      <c r="AA65" s="7"/>
      <c r="AB65" s="7"/>
      <c r="AC65" s="7"/>
      <c r="AD65" s="52"/>
      <c r="AE65" s="3">
        <v>12</v>
      </c>
      <c r="AG65" s="53"/>
      <c r="AH65" s="7"/>
      <c r="AI65" s="7"/>
      <c r="AJ65" s="7"/>
      <c r="AK65" s="52"/>
      <c r="AL65" s="3">
        <v>12</v>
      </c>
      <c r="AN65" s="53"/>
      <c r="AO65" s="7"/>
      <c r="AP65" s="7"/>
      <c r="AQ65" s="7"/>
      <c r="AR65" s="52"/>
      <c r="AS65" s="62">
        <v>12</v>
      </c>
      <c r="AU65" s="53"/>
      <c r="AV65" s="7"/>
      <c r="AW65" s="7"/>
      <c r="AX65" s="7"/>
      <c r="AY65" s="52"/>
      <c r="AZ65" s="62">
        <v>0</v>
      </c>
    </row>
    <row r="66" spans="1:52" x14ac:dyDescent="0.4">
      <c r="A66" s="12">
        <f t="shared" si="20"/>
        <v>4</v>
      </c>
      <c r="B66" s="77">
        <f t="shared" si="14"/>
        <v>0</v>
      </c>
      <c r="C66" s="41">
        <f t="shared" si="21"/>
        <v>0</v>
      </c>
      <c r="D66" s="41">
        <f>D63</f>
        <v>1</v>
      </c>
      <c r="E66" s="41">
        <f>IF(AND(S66&lt;ηAC値Z,ηAC値Z&lt;=W66),1,0)</f>
        <v>0</v>
      </c>
      <c r="F66" s="157">
        <f t="shared" si="15"/>
        <v>0</v>
      </c>
      <c r="G66" s="158">
        <f t="shared" si="16"/>
        <v>0</v>
      </c>
      <c r="H66" s="158">
        <f t="shared" si="17"/>
        <v>0</v>
      </c>
      <c r="I66" s="158">
        <f t="shared" si="18"/>
        <v>0</v>
      </c>
      <c r="J66" s="159">
        <f t="shared" si="19"/>
        <v>0</v>
      </c>
      <c r="N66" s="456"/>
      <c r="O66" s="457"/>
      <c r="P66" s="457"/>
      <c r="Q66" s="457"/>
      <c r="R66" s="462"/>
      <c r="S66" s="53">
        <v>2.8</v>
      </c>
      <c r="T66" s="7" t="s">
        <v>46</v>
      </c>
      <c r="U66" s="7" t="s">
        <v>47</v>
      </c>
      <c r="V66" s="7" t="s">
        <v>42</v>
      </c>
      <c r="W66" s="52">
        <v>3.3</v>
      </c>
      <c r="X66" s="3">
        <v>13</v>
      </c>
      <c r="Z66" s="53"/>
      <c r="AA66" s="7"/>
      <c r="AB66" s="7"/>
      <c r="AC66" s="7"/>
      <c r="AD66" s="52"/>
      <c r="AE66" s="3">
        <v>13</v>
      </c>
      <c r="AG66" s="53"/>
      <c r="AH66" s="7"/>
      <c r="AI66" s="7"/>
      <c r="AJ66" s="7"/>
      <c r="AK66" s="52"/>
      <c r="AL66" s="3">
        <v>13</v>
      </c>
      <c r="AN66" s="53"/>
      <c r="AO66" s="7"/>
      <c r="AP66" s="7"/>
      <c r="AQ66" s="7"/>
      <c r="AR66" s="52"/>
      <c r="AS66" s="62">
        <v>13</v>
      </c>
      <c r="AU66" s="53"/>
      <c r="AV66" s="7"/>
      <c r="AW66" s="7"/>
      <c r="AX66" s="7"/>
      <c r="AY66" s="52"/>
      <c r="AZ66" s="62">
        <v>0</v>
      </c>
    </row>
    <row r="67" spans="1:52" x14ac:dyDescent="0.4">
      <c r="A67" s="12">
        <f t="shared" si="20"/>
        <v>5</v>
      </c>
      <c r="B67" s="77">
        <f t="shared" si="14"/>
        <v>0</v>
      </c>
      <c r="C67" s="41">
        <f>IF(AND(D67=1,E67=1),1,0)</f>
        <v>0</v>
      </c>
      <c r="D67" s="41">
        <f>D63</f>
        <v>1</v>
      </c>
      <c r="E67" s="41">
        <f>IF(AND(S67&lt;ηAC値Z,ηAC値Z&lt;=W67),1,0)</f>
        <v>0</v>
      </c>
      <c r="F67" s="157">
        <f t="shared" si="15"/>
        <v>0</v>
      </c>
      <c r="G67" s="158">
        <f t="shared" si="16"/>
        <v>0</v>
      </c>
      <c r="H67" s="158">
        <f t="shared" si="17"/>
        <v>0</v>
      </c>
      <c r="I67" s="158">
        <f t="shared" si="18"/>
        <v>0</v>
      </c>
      <c r="J67" s="159">
        <f t="shared" si="19"/>
        <v>0</v>
      </c>
      <c r="N67" s="456"/>
      <c r="O67" s="457"/>
      <c r="P67" s="457"/>
      <c r="Q67" s="457"/>
      <c r="R67" s="462"/>
      <c r="S67" s="53">
        <v>3.3</v>
      </c>
      <c r="T67" s="7" t="s">
        <v>46</v>
      </c>
      <c r="U67" s="7" t="s">
        <v>47</v>
      </c>
      <c r="V67" s="7" t="s">
        <v>42</v>
      </c>
      <c r="W67" s="52">
        <v>3.8</v>
      </c>
      <c r="X67" s="3">
        <v>14</v>
      </c>
      <c r="Z67" s="53"/>
      <c r="AA67" s="7"/>
      <c r="AB67" s="7"/>
      <c r="AC67" s="7"/>
      <c r="AD67" s="52"/>
      <c r="AE67" s="3">
        <v>15</v>
      </c>
      <c r="AG67" s="53"/>
      <c r="AH67" s="7"/>
      <c r="AI67" s="7"/>
      <c r="AJ67" s="7"/>
      <c r="AK67" s="52"/>
      <c r="AL67" s="3">
        <v>15</v>
      </c>
      <c r="AN67" s="53"/>
      <c r="AO67" s="7"/>
      <c r="AP67" s="7"/>
      <c r="AQ67" s="7"/>
      <c r="AR67" s="52"/>
      <c r="AS67" s="62">
        <v>15</v>
      </c>
      <c r="AU67" s="53"/>
      <c r="AV67" s="7"/>
      <c r="AW67" s="7"/>
      <c r="AX67" s="7"/>
      <c r="AY67" s="52"/>
      <c r="AZ67" s="62">
        <v>0</v>
      </c>
    </row>
    <row r="68" spans="1:52" ht="19.5" thickBot="1" x14ac:dyDescent="0.45">
      <c r="A68" s="12">
        <f t="shared" si="20"/>
        <v>6</v>
      </c>
      <c r="B68" s="77">
        <f t="shared" si="14"/>
        <v>0</v>
      </c>
      <c r="C68" s="41">
        <f>IF(AND(D68=1,E68=1),1,0)</f>
        <v>0</v>
      </c>
      <c r="D68" s="42">
        <f>D63</f>
        <v>1</v>
      </c>
      <c r="E68" s="41">
        <f>IF(AND(S68&lt;ηAC値Z,ηAC値Z&lt;=W68),1,0)</f>
        <v>0</v>
      </c>
      <c r="F68" s="160">
        <f t="shared" si="15"/>
        <v>0</v>
      </c>
      <c r="G68" s="161">
        <f t="shared" si="16"/>
        <v>0</v>
      </c>
      <c r="H68" s="161">
        <f t="shared" si="17"/>
        <v>0</v>
      </c>
      <c r="I68" s="161">
        <f t="shared" si="18"/>
        <v>0</v>
      </c>
      <c r="J68" s="162">
        <f t="shared" si="19"/>
        <v>0</v>
      </c>
      <c r="N68" s="463"/>
      <c r="O68" s="464"/>
      <c r="P68" s="464"/>
      <c r="Q68" s="464"/>
      <c r="R68" s="466"/>
      <c r="S68" s="63">
        <v>3.8</v>
      </c>
      <c r="T68" s="48" t="s">
        <v>46</v>
      </c>
      <c r="U68" s="48" t="s">
        <v>47</v>
      </c>
      <c r="V68" s="48" t="s">
        <v>42</v>
      </c>
      <c r="W68" s="64">
        <v>4.3</v>
      </c>
      <c r="X68" s="65">
        <v>16</v>
      </c>
      <c r="Y68" s="46"/>
      <c r="Z68" s="63"/>
      <c r="AA68" s="48"/>
      <c r="AB68" s="48"/>
      <c r="AC68" s="48"/>
      <c r="AD68" s="64"/>
      <c r="AE68" s="65">
        <v>17</v>
      </c>
      <c r="AF68" s="46"/>
      <c r="AG68" s="63"/>
      <c r="AH68" s="48"/>
      <c r="AI68" s="48"/>
      <c r="AJ68" s="48"/>
      <c r="AK68" s="64"/>
      <c r="AL68" s="65">
        <v>17</v>
      </c>
      <c r="AM68" s="46"/>
      <c r="AN68" s="63"/>
      <c r="AO68" s="48"/>
      <c r="AP68" s="48"/>
      <c r="AQ68" s="48"/>
      <c r="AR68" s="64"/>
      <c r="AS68" s="66">
        <v>17</v>
      </c>
      <c r="AU68" s="63"/>
      <c r="AV68" s="48"/>
      <c r="AW68" s="48"/>
      <c r="AX68" s="48"/>
      <c r="AY68" s="64"/>
      <c r="AZ68" s="66">
        <v>0</v>
      </c>
    </row>
    <row r="69" spans="1:52" x14ac:dyDescent="0.4">
      <c r="A69" s="12">
        <f t="shared" si="20"/>
        <v>7</v>
      </c>
      <c r="B69" s="77">
        <f t="shared" si="14"/>
        <v>0</v>
      </c>
      <c r="C69" s="41">
        <f>IF(AND(D69=1,E69=1),1,0)</f>
        <v>0</v>
      </c>
      <c r="D69" s="40">
        <f>IF(AND(N69&lt;=UA値z,UA値z&lt;R69),1,0)</f>
        <v>0</v>
      </c>
      <c r="E69" s="40">
        <f>IF(ηAC値Z&lt;=W69,1,0)</f>
        <v>0</v>
      </c>
      <c r="F69" s="154">
        <f t="shared" si="15"/>
        <v>0</v>
      </c>
      <c r="G69" s="155">
        <f t="shared" si="16"/>
        <v>0</v>
      </c>
      <c r="H69" s="155">
        <f t="shared" si="17"/>
        <v>0</v>
      </c>
      <c r="I69" s="155">
        <f t="shared" si="18"/>
        <v>0</v>
      </c>
      <c r="J69" s="156">
        <f t="shared" si="19"/>
        <v>0</v>
      </c>
      <c r="N69" s="458">
        <v>0.69</v>
      </c>
      <c r="O69" s="459" t="s">
        <v>42</v>
      </c>
      <c r="P69" s="459" t="s">
        <v>45</v>
      </c>
      <c r="Q69" s="459" t="s">
        <v>46</v>
      </c>
      <c r="R69" s="465">
        <v>0.78</v>
      </c>
      <c r="S69" s="70"/>
      <c r="T69" s="47"/>
      <c r="U69" s="47" t="s">
        <v>47</v>
      </c>
      <c r="V69" s="47" t="s">
        <v>42</v>
      </c>
      <c r="W69" s="58">
        <v>1.8</v>
      </c>
      <c r="X69" s="59">
        <v>8</v>
      </c>
      <c r="Y69" s="60"/>
      <c r="Z69" s="70"/>
      <c r="AA69" s="47"/>
      <c r="AB69" s="47"/>
      <c r="AC69" s="47"/>
      <c r="AD69" s="58"/>
      <c r="AE69" s="59">
        <v>9</v>
      </c>
      <c r="AF69" s="60"/>
      <c r="AG69" s="70"/>
      <c r="AH69" s="47"/>
      <c r="AI69" s="47"/>
      <c r="AJ69" s="47"/>
      <c r="AK69" s="58"/>
      <c r="AL69" s="59">
        <v>9</v>
      </c>
      <c r="AM69" s="60"/>
      <c r="AN69" s="70"/>
      <c r="AO69" s="47"/>
      <c r="AP69" s="47"/>
      <c r="AQ69" s="47"/>
      <c r="AR69" s="58"/>
      <c r="AS69" s="61">
        <v>9</v>
      </c>
      <c r="AU69" s="70"/>
      <c r="AV69" s="47"/>
      <c r="AW69" s="47"/>
      <c r="AX69" s="47"/>
      <c r="AY69" s="58"/>
      <c r="AZ69" s="61">
        <v>0</v>
      </c>
    </row>
    <row r="70" spans="1:52" x14ac:dyDescent="0.4">
      <c r="A70" s="12">
        <f t="shared" si="20"/>
        <v>8</v>
      </c>
      <c r="B70" s="77">
        <f t="shared" si="14"/>
        <v>0</v>
      </c>
      <c r="C70" s="41">
        <f>IF(AND(D70=1,E70=1),1,0)</f>
        <v>0</v>
      </c>
      <c r="D70" s="41">
        <f>D69</f>
        <v>0</v>
      </c>
      <c r="E70" s="41">
        <f>IF(AND(S70&lt;ηAC値Z,ηAC値Z&lt;=W70),1,0)</f>
        <v>1</v>
      </c>
      <c r="F70" s="157">
        <f t="shared" ref="F70:F95" si="22">IF(E70=1,X70,0)</f>
        <v>9</v>
      </c>
      <c r="G70" s="158">
        <f t="shared" si="16"/>
        <v>10</v>
      </c>
      <c r="H70" s="158">
        <f t="shared" si="17"/>
        <v>10</v>
      </c>
      <c r="I70" s="158">
        <f t="shared" si="18"/>
        <v>10</v>
      </c>
      <c r="J70" s="159">
        <f t="shared" si="19"/>
        <v>0</v>
      </c>
      <c r="N70" s="456"/>
      <c r="O70" s="457"/>
      <c r="P70" s="457"/>
      <c r="Q70" s="457"/>
      <c r="R70" s="462"/>
      <c r="S70" s="53">
        <v>1.8</v>
      </c>
      <c r="T70" s="7" t="s">
        <v>46</v>
      </c>
      <c r="U70" s="7" t="s">
        <v>47</v>
      </c>
      <c r="V70" s="7" t="s">
        <v>42</v>
      </c>
      <c r="W70" s="52">
        <v>2.2999999999999998</v>
      </c>
      <c r="X70" s="3">
        <v>9</v>
      </c>
      <c r="Z70" s="53"/>
      <c r="AA70" s="7"/>
      <c r="AB70" s="7"/>
      <c r="AC70" s="7"/>
      <c r="AD70" s="52"/>
      <c r="AE70" s="3">
        <v>10</v>
      </c>
      <c r="AG70" s="53"/>
      <c r="AH70" s="7"/>
      <c r="AI70" s="7"/>
      <c r="AJ70" s="7"/>
      <c r="AK70" s="52"/>
      <c r="AL70" s="3">
        <v>10</v>
      </c>
      <c r="AN70" s="53"/>
      <c r="AO70" s="7"/>
      <c r="AP70" s="7"/>
      <c r="AQ70" s="7"/>
      <c r="AR70" s="52"/>
      <c r="AS70" s="62">
        <v>10</v>
      </c>
      <c r="AU70" s="53"/>
      <c r="AV70" s="7"/>
      <c r="AW70" s="7"/>
      <c r="AX70" s="7"/>
      <c r="AY70" s="52"/>
      <c r="AZ70" s="62">
        <v>0</v>
      </c>
    </row>
    <row r="71" spans="1:52" x14ac:dyDescent="0.4">
      <c r="A71" s="12">
        <f t="shared" si="20"/>
        <v>9</v>
      </c>
      <c r="B71" s="77">
        <f t="shared" si="14"/>
        <v>0</v>
      </c>
      <c r="C71" s="41">
        <f t="shared" si="21"/>
        <v>0</v>
      </c>
      <c r="D71" s="41">
        <f>D69</f>
        <v>0</v>
      </c>
      <c r="E71" s="41">
        <f>IF(AND(S71&lt;ηAC値Z,ηAC値Z&lt;=W71),1,0)</f>
        <v>0</v>
      </c>
      <c r="F71" s="157">
        <f t="shared" ref="F71:F94" si="23">IF(E71=1,X71,0)</f>
        <v>0</v>
      </c>
      <c r="G71" s="158">
        <f t="shared" si="16"/>
        <v>0</v>
      </c>
      <c r="H71" s="158">
        <f t="shared" si="17"/>
        <v>0</v>
      </c>
      <c r="I71" s="158">
        <f t="shared" si="18"/>
        <v>0</v>
      </c>
      <c r="J71" s="159">
        <f t="shared" si="19"/>
        <v>0</v>
      </c>
      <c r="N71" s="456"/>
      <c r="O71" s="457"/>
      <c r="P71" s="457"/>
      <c r="Q71" s="457"/>
      <c r="R71" s="462"/>
      <c r="S71" s="53">
        <v>2.2999999999999998</v>
      </c>
      <c r="T71" s="7" t="s">
        <v>46</v>
      </c>
      <c r="U71" s="7" t="s">
        <v>47</v>
      </c>
      <c r="V71" s="7" t="s">
        <v>42</v>
      </c>
      <c r="W71" s="52">
        <v>2.8</v>
      </c>
      <c r="X71" s="3">
        <v>11</v>
      </c>
      <c r="Z71" s="53"/>
      <c r="AA71" s="7"/>
      <c r="AB71" s="7"/>
      <c r="AC71" s="7"/>
      <c r="AD71" s="52"/>
      <c r="AE71" s="3">
        <v>11</v>
      </c>
      <c r="AG71" s="53"/>
      <c r="AH71" s="7"/>
      <c r="AI71" s="7"/>
      <c r="AJ71" s="7"/>
      <c r="AK71" s="52"/>
      <c r="AL71" s="3">
        <v>11</v>
      </c>
      <c r="AN71" s="53"/>
      <c r="AO71" s="7"/>
      <c r="AP71" s="7"/>
      <c r="AQ71" s="7"/>
      <c r="AR71" s="52"/>
      <c r="AS71" s="62">
        <v>11</v>
      </c>
      <c r="AU71" s="53"/>
      <c r="AV71" s="7"/>
      <c r="AW71" s="7"/>
      <c r="AX71" s="7"/>
      <c r="AY71" s="52"/>
      <c r="AZ71" s="62">
        <v>0</v>
      </c>
    </row>
    <row r="72" spans="1:52" x14ac:dyDescent="0.4">
      <c r="A72" s="12">
        <f t="shared" si="20"/>
        <v>10</v>
      </c>
      <c r="B72" s="77">
        <f t="shared" si="14"/>
        <v>0</v>
      </c>
      <c r="C72" s="41">
        <f>IF(AND(D72=1,E72=1),1,0)</f>
        <v>0</v>
      </c>
      <c r="D72" s="41">
        <f>D69</f>
        <v>0</v>
      </c>
      <c r="E72" s="41">
        <f>IF(AND(S72&lt;ηAC値Z,ηAC値Z&lt;=W72),1,0)</f>
        <v>0</v>
      </c>
      <c r="F72" s="157">
        <f t="shared" si="23"/>
        <v>0</v>
      </c>
      <c r="G72" s="158">
        <f t="shared" si="16"/>
        <v>0</v>
      </c>
      <c r="H72" s="158">
        <f t="shared" si="17"/>
        <v>0</v>
      </c>
      <c r="I72" s="158">
        <f t="shared" si="18"/>
        <v>0</v>
      </c>
      <c r="J72" s="159">
        <f t="shared" si="19"/>
        <v>0</v>
      </c>
      <c r="N72" s="456"/>
      <c r="O72" s="457"/>
      <c r="P72" s="457"/>
      <c r="Q72" s="457"/>
      <c r="R72" s="462"/>
      <c r="S72" s="53">
        <v>2.8</v>
      </c>
      <c r="T72" s="7" t="s">
        <v>46</v>
      </c>
      <c r="U72" s="7" t="s">
        <v>47</v>
      </c>
      <c r="V72" s="7" t="s">
        <v>42</v>
      </c>
      <c r="W72" s="52">
        <v>3.3</v>
      </c>
      <c r="X72" s="3">
        <v>12</v>
      </c>
      <c r="Z72" s="53"/>
      <c r="AA72" s="7"/>
      <c r="AB72" s="7"/>
      <c r="AC72" s="7"/>
      <c r="AD72" s="52"/>
      <c r="AE72" s="3">
        <v>13</v>
      </c>
      <c r="AG72" s="53"/>
      <c r="AH72" s="7"/>
      <c r="AI72" s="7"/>
      <c r="AJ72" s="7"/>
      <c r="AK72" s="52"/>
      <c r="AL72" s="3">
        <v>13</v>
      </c>
      <c r="AN72" s="53"/>
      <c r="AO72" s="7"/>
      <c r="AP72" s="7"/>
      <c r="AQ72" s="7"/>
      <c r="AR72" s="52"/>
      <c r="AS72" s="62">
        <v>13</v>
      </c>
      <c r="AU72" s="53"/>
      <c r="AV72" s="7"/>
      <c r="AW72" s="7"/>
      <c r="AX72" s="7"/>
      <c r="AY72" s="52"/>
      <c r="AZ72" s="62">
        <v>0</v>
      </c>
    </row>
    <row r="73" spans="1:52" x14ac:dyDescent="0.4">
      <c r="A73" s="12">
        <f t="shared" si="20"/>
        <v>11</v>
      </c>
      <c r="B73" s="77">
        <f t="shared" si="14"/>
        <v>0</v>
      </c>
      <c r="C73" s="41">
        <f t="shared" si="21"/>
        <v>0</v>
      </c>
      <c r="D73" s="41">
        <f>D69</f>
        <v>0</v>
      </c>
      <c r="E73" s="41">
        <f>IF(AND(S73&lt;ηAC値Z,ηAC値Z&lt;=W73),1,0)</f>
        <v>0</v>
      </c>
      <c r="F73" s="157">
        <f t="shared" si="23"/>
        <v>0</v>
      </c>
      <c r="G73" s="158">
        <f t="shared" si="16"/>
        <v>0</v>
      </c>
      <c r="H73" s="158">
        <f t="shared" si="17"/>
        <v>0</v>
      </c>
      <c r="I73" s="158">
        <f t="shared" si="18"/>
        <v>0</v>
      </c>
      <c r="J73" s="159">
        <f t="shared" si="19"/>
        <v>0</v>
      </c>
      <c r="N73" s="456"/>
      <c r="O73" s="457"/>
      <c r="P73" s="457"/>
      <c r="Q73" s="457"/>
      <c r="R73" s="462"/>
      <c r="S73" s="53">
        <v>3.3</v>
      </c>
      <c r="T73" s="7" t="s">
        <v>46</v>
      </c>
      <c r="U73" s="7" t="s">
        <v>47</v>
      </c>
      <c r="V73" s="7" t="s">
        <v>42</v>
      </c>
      <c r="W73" s="52">
        <v>3.8</v>
      </c>
      <c r="X73" s="3">
        <v>14</v>
      </c>
      <c r="Z73" s="53"/>
      <c r="AA73" s="7"/>
      <c r="AB73" s="7"/>
      <c r="AC73" s="7"/>
      <c r="AD73" s="52"/>
      <c r="AE73" s="3">
        <v>14</v>
      </c>
      <c r="AG73" s="53"/>
      <c r="AH73" s="7"/>
      <c r="AI73" s="7"/>
      <c r="AJ73" s="7"/>
      <c r="AK73" s="52"/>
      <c r="AL73" s="3">
        <v>14</v>
      </c>
      <c r="AN73" s="53"/>
      <c r="AO73" s="7"/>
      <c r="AP73" s="7"/>
      <c r="AQ73" s="7"/>
      <c r="AR73" s="52"/>
      <c r="AS73" s="62">
        <v>14</v>
      </c>
      <c r="AU73" s="53"/>
      <c r="AV73" s="7"/>
      <c r="AW73" s="7"/>
      <c r="AX73" s="7"/>
      <c r="AY73" s="52"/>
      <c r="AZ73" s="62">
        <v>0</v>
      </c>
    </row>
    <row r="74" spans="1:52" ht="19.5" thickBot="1" x14ac:dyDescent="0.45">
      <c r="A74" s="12">
        <f t="shared" si="20"/>
        <v>12</v>
      </c>
      <c r="B74" s="77">
        <f t="shared" si="14"/>
        <v>0</v>
      </c>
      <c r="C74" s="41">
        <f t="shared" si="21"/>
        <v>0</v>
      </c>
      <c r="D74" s="41">
        <f>D69</f>
        <v>0</v>
      </c>
      <c r="E74" s="41">
        <f>IF(AND(S74&lt;ηAC値Z,ηAC値Z&lt;=W74),1,0)</f>
        <v>0</v>
      </c>
      <c r="F74" s="160">
        <f t="shared" si="23"/>
        <v>0</v>
      </c>
      <c r="G74" s="161">
        <f t="shared" si="16"/>
        <v>0</v>
      </c>
      <c r="H74" s="161">
        <f t="shared" si="17"/>
        <v>0</v>
      </c>
      <c r="I74" s="161">
        <f t="shared" si="18"/>
        <v>0</v>
      </c>
      <c r="J74" s="162">
        <f t="shared" si="19"/>
        <v>0</v>
      </c>
      <c r="N74" s="456"/>
      <c r="O74" s="457"/>
      <c r="P74" s="457"/>
      <c r="Q74" s="457"/>
      <c r="R74" s="462"/>
      <c r="S74" s="63">
        <v>3.8</v>
      </c>
      <c r="T74" s="48" t="s">
        <v>46</v>
      </c>
      <c r="U74" s="48" t="s">
        <v>47</v>
      </c>
      <c r="V74" s="48" t="s">
        <v>42</v>
      </c>
      <c r="W74" s="64">
        <v>4.3</v>
      </c>
      <c r="X74" s="40">
        <v>15</v>
      </c>
      <c r="Z74" s="63"/>
      <c r="AA74" s="48"/>
      <c r="AB74" s="48"/>
      <c r="AC74" s="48"/>
      <c r="AD74" s="64"/>
      <c r="AE74" s="40">
        <v>16</v>
      </c>
      <c r="AG74" s="63"/>
      <c r="AH74" s="48"/>
      <c r="AI74" s="48"/>
      <c r="AJ74" s="48"/>
      <c r="AK74" s="64"/>
      <c r="AL74" s="40">
        <v>16</v>
      </c>
      <c r="AN74" s="63"/>
      <c r="AO74" s="48"/>
      <c r="AP74" s="48"/>
      <c r="AQ74" s="48"/>
      <c r="AR74" s="64"/>
      <c r="AS74" s="73">
        <v>16</v>
      </c>
      <c r="AU74" s="63"/>
      <c r="AV74" s="48"/>
      <c r="AW74" s="48"/>
      <c r="AX74" s="48"/>
      <c r="AY74" s="64"/>
      <c r="AZ74" s="73">
        <v>0</v>
      </c>
    </row>
    <row r="75" spans="1:52" x14ac:dyDescent="0.4">
      <c r="A75" s="12">
        <f t="shared" si="20"/>
        <v>13</v>
      </c>
      <c r="B75" s="77">
        <f t="shared" si="14"/>
        <v>0</v>
      </c>
      <c r="C75" s="41">
        <f t="shared" si="21"/>
        <v>0</v>
      </c>
      <c r="D75" s="40">
        <f>IF(AND(N75&lt;=UA値z,UA値z&lt;R75),1,0)</f>
        <v>0</v>
      </c>
      <c r="E75" s="40">
        <f>IF(ηAC値Z&lt;=W75,1,0)</f>
        <v>0</v>
      </c>
      <c r="F75" s="154">
        <f t="shared" si="23"/>
        <v>0</v>
      </c>
      <c r="G75" s="155">
        <f t="shared" si="16"/>
        <v>0</v>
      </c>
      <c r="H75" s="155">
        <f t="shared" si="17"/>
        <v>0</v>
      </c>
      <c r="I75" s="155">
        <f t="shared" si="18"/>
        <v>0</v>
      </c>
      <c r="J75" s="156">
        <f t="shared" si="19"/>
        <v>0</v>
      </c>
      <c r="N75" s="458">
        <v>0.78</v>
      </c>
      <c r="O75" s="459" t="s">
        <v>42</v>
      </c>
      <c r="P75" s="459" t="s">
        <v>45</v>
      </c>
      <c r="Q75" s="459" t="s">
        <v>46</v>
      </c>
      <c r="R75" s="465">
        <v>0.87</v>
      </c>
      <c r="S75" s="70"/>
      <c r="T75" s="47"/>
      <c r="U75" s="47" t="s">
        <v>47</v>
      </c>
      <c r="V75" s="47" t="s">
        <v>42</v>
      </c>
      <c r="W75" s="58">
        <v>1.8</v>
      </c>
      <c r="X75" s="59">
        <v>8</v>
      </c>
      <c r="Y75" s="60"/>
      <c r="Z75" s="70"/>
      <c r="AA75" s="47"/>
      <c r="AB75" s="47"/>
      <c r="AC75" s="47"/>
      <c r="AD75" s="58"/>
      <c r="AE75" s="59">
        <v>8</v>
      </c>
      <c r="AF75" s="60"/>
      <c r="AG75" s="70"/>
      <c r="AH75" s="47"/>
      <c r="AI75" s="47"/>
      <c r="AJ75" s="47"/>
      <c r="AK75" s="58"/>
      <c r="AL75" s="59">
        <v>8</v>
      </c>
      <c r="AM75" s="60"/>
      <c r="AN75" s="70"/>
      <c r="AO75" s="47"/>
      <c r="AP75" s="47"/>
      <c r="AQ75" s="47"/>
      <c r="AR75" s="58"/>
      <c r="AS75" s="61">
        <v>8</v>
      </c>
      <c r="AU75" s="70"/>
      <c r="AV75" s="47"/>
      <c r="AW75" s="47"/>
      <c r="AX75" s="47"/>
      <c r="AY75" s="58"/>
      <c r="AZ75" s="61">
        <v>0</v>
      </c>
    </row>
    <row r="76" spans="1:52" x14ac:dyDescent="0.4">
      <c r="A76" s="12">
        <f t="shared" si="20"/>
        <v>14</v>
      </c>
      <c r="B76" s="77">
        <f t="shared" si="14"/>
        <v>0</v>
      </c>
      <c r="C76" s="41">
        <f>IF(AND(D76=1,E76=1),1,0)</f>
        <v>0</v>
      </c>
      <c r="D76" s="41">
        <f>D75</f>
        <v>0</v>
      </c>
      <c r="E76" s="41">
        <f>IF(AND(S76&lt;ηAC値Z,ηAC値Z&lt;=W76),1,0)</f>
        <v>1</v>
      </c>
      <c r="F76" s="157">
        <f t="shared" si="23"/>
        <v>9</v>
      </c>
      <c r="G76" s="158">
        <f t="shared" si="16"/>
        <v>10</v>
      </c>
      <c r="H76" s="158">
        <f t="shared" si="17"/>
        <v>10</v>
      </c>
      <c r="I76" s="158">
        <f t="shared" si="18"/>
        <v>10</v>
      </c>
      <c r="J76" s="159">
        <f t="shared" si="19"/>
        <v>0</v>
      </c>
      <c r="N76" s="456"/>
      <c r="O76" s="457"/>
      <c r="P76" s="457"/>
      <c r="Q76" s="457"/>
      <c r="R76" s="462"/>
      <c r="S76" s="53">
        <v>1.8</v>
      </c>
      <c r="T76" s="7" t="s">
        <v>46</v>
      </c>
      <c r="U76" s="7" t="s">
        <v>47</v>
      </c>
      <c r="V76" s="7" t="s">
        <v>42</v>
      </c>
      <c r="W76" s="52">
        <v>2.2999999999999998</v>
      </c>
      <c r="X76" s="3">
        <v>9</v>
      </c>
      <c r="Z76" s="53"/>
      <c r="AA76" s="7"/>
      <c r="AB76" s="7"/>
      <c r="AC76" s="7"/>
      <c r="AD76" s="52"/>
      <c r="AE76" s="3">
        <v>10</v>
      </c>
      <c r="AG76" s="53"/>
      <c r="AH76" s="7"/>
      <c r="AI76" s="7"/>
      <c r="AJ76" s="7"/>
      <c r="AK76" s="52"/>
      <c r="AL76" s="3">
        <v>10</v>
      </c>
      <c r="AN76" s="53"/>
      <c r="AO76" s="7"/>
      <c r="AP76" s="7"/>
      <c r="AQ76" s="7"/>
      <c r="AR76" s="52"/>
      <c r="AS76" s="62">
        <v>10</v>
      </c>
      <c r="AU76" s="53"/>
      <c r="AV76" s="7"/>
      <c r="AW76" s="7"/>
      <c r="AX76" s="7"/>
      <c r="AY76" s="52"/>
      <c r="AZ76" s="62">
        <v>0</v>
      </c>
    </row>
    <row r="77" spans="1:52" x14ac:dyDescent="0.4">
      <c r="A77" s="12">
        <f t="shared" si="20"/>
        <v>15</v>
      </c>
      <c r="B77" s="77">
        <f t="shared" si="14"/>
        <v>0</v>
      </c>
      <c r="C77" s="41">
        <f t="shared" si="21"/>
        <v>0</v>
      </c>
      <c r="D77" s="41">
        <f>D75</f>
        <v>0</v>
      </c>
      <c r="E77" s="41">
        <f>IF(AND(S77&lt;ηAC値Z,ηAC値Z&lt;=W77),1,0)</f>
        <v>0</v>
      </c>
      <c r="F77" s="157">
        <f t="shared" si="23"/>
        <v>0</v>
      </c>
      <c r="G77" s="158">
        <f t="shared" si="16"/>
        <v>0</v>
      </c>
      <c r="H77" s="158">
        <f t="shared" si="17"/>
        <v>0</v>
      </c>
      <c r="I77" s="158">
        <f t="shared" si="18"/>
        <v>0</v>
      </c>
      <c r="J77" s="159">
        <f t="shared" si="19"/>
        <v>0</v>
      </c>
      <c r="N77" s="456"/>
      <c r="O77" s="457"/>
      <c r="P77" s="457"/>
      <c r="Q77" s="457"/>
      <c r="R77" s="462"/>
      <c r="S77" s="53">
        <v>2.2999999999999998</v>
      </c>
      <c r="T77" s="7" t="s">
        <v>46</v>
      </c>
      <c r="U77" s="7" t="s">
        <v>47</v>
      </c>
      <c r="V77" s="7" t="s">
        <v>42</v>
      </c>
      <c r="W77" s="52">
        <v>2.8</v>
      </c>
      <c r="X77" s="3">
        <v>10</v>
      </c>
      <c r="Z77" s="53"/>
      <c r="AA77" s="7"/>
      <c r="AB77" s="7"/>
      <c r="AC77" s="7"/>
      <c r="AD77" s="52"/>
      <c r="AE77" s="3">
        <v>11</v>
      </c>
      <c r="AG77" s="53"/>
      <c r="AH77" s="7"/>
      <c r="AI77" s="7"/>
      <c r="AJ77" s="7"/>
      <c r="AK77" s="52"/>
      <c r="AL77" s="3">
        <v>11</v>
      </c>
      <c r="AN77" s="53"/>
      <c r="AO77" s="7"/>
      <c r="AP77" s="7"/>
      <c r="AQ77" s="7"/>
      <c r="AR77" s="52"/>
      <c r="AS77" s="62">
        <v>11</v>
      </c>
      <c r="AU77" s="53"/>
      <c r="AV77" s="7"/>
      <c r="AW77" s="7"/>
      <c r="AX77" s="7"/>
      <c r="AY77" s="52"/>
      <c r="AZ77" s="62">
        <v>0</v>
      </c>
    </row>
    <row r="78" spans="1:52" x14ac:dyDescent="0.4">
      <c r="A78" s="12">
        <f t="shared" si="20"/>
        <v>16</v>
      </c>
      <c r="B78" s="77">
        <f t="shared" si="14"/>
        <v>0</v>
      </c>
      <c r="C78" s="41">
        <f t="shared" si="21"/>
        <v>0</v>
      </c>
      <c r="D78" s="41">
        <f>D75</f>
        <v>0</v>
      </c>
      <c r="E78" s="41">
        <f>IF(AND(S78&lt;ηAC値Z,ηAC値Z&lt;=W78),1,0)</f>
        <v>0</v>
      </c>
      <c r="F78" s="157">
        <f t="shared" si="23"/>
        <v>0</v>
      </c>
      <c r="G78" s="158">
        <f t="shared" si="16"/>
        <v>0</v>
      </c>
      <c r="H78" s="158">
        <f t="shared" si="17"/>
        <v>0</v>
      </c>
      <c r="I78" s="158">
        <f t="shared" si="18"/>
        <v>0</v>
      </c>
      <c r="J78" s="159">
        <f t="shared" si="19"/>
        <v>0</v>
      </c>
      <c r="N78" s="456"/>
      <c r="O78" s="457"/>
      <c r="P78" s="457"/>
      <c r="Q78" s="457"/>
      <c r="R78" s="462"/>
      <c r="S78" s="53">
        <v>2.8</v>
      </c>
      <c r="T78" s="7" t="s">
        <v>46</v>
      </c>
      <c r="U78" s="7" t="s">
        <v>47</v>
      </c>
      <c r="V78" s="7" t="s">
        <v>42</v>
      </c>
      <c r="W78" s="52">
        <v>3.3</v>
      </c>
      <c r="X78" s="3">
        <v>12</v>
      </c>
      <c r="Z78" s="53"/>
      <c r="AA78" s="7"/>
      <c r="AB78" s="7"/>
      <c r="AC78" s="7"/>
      <c r="AD78" s="52"/>
      <c r="AE78" s="3">
        <v>12</v>
      </c>
      <c r="AG78" s="53"/>
      <c r="AH78" s="7"/>
      <c r="AI78" s="7"/>
      <c r="AJ78" s="7"/>
      <c r="AK78" s="52"/>
      <c r="AL78" s="3">
        <v>12</v>
      </c>
      <c r="AN78" s="53"/>
      <c r="AO78" s="7"/>
      <c r="AP78" s="7"/>
      <c r="AQ78" s="7"/>
      <c r="AR78" s="52"/>
      <c r="AS78" s="62">
        <v>12</v>
      </c>
      <c r="AU78" s="53"/>
      <c r="AV78" s="7"/>
      <c r="AW78" s="7"/>
      <c r="AX78" s="7"/>
      <c r="AY78" s="52"/>
      <c r="AZ78" s="62">
        <v>0</v>
      </c>
    </row>
    <row r="79" spans="1:52" x14ac:dyDescent="0.4">
      <c r="A79" s="12">
        <f t="shared" si="20"/>
        <v>17</v>
      </c>
      <c r="B79" s="77">
        <f t="shared" si="14"/>
        <v>0</v>
      </c>
      <c r="C79" s="41">
        <f t="shared" si="21"/>
        <v>0</v>
      </c>
      <c r="D79" s="41">
        <f>D75</f>
        <v>0</v>
      </c>
      <c r="E79" s="41">
        <f>IF(AND(S79&lt;ηAC値Z,ηAC値Z&lt;=W79),1,0)</f>
        <v>0</v>
      </c>
      <c r="F79" s="157">
        <f t="shared" si="23"/>
        <v>0</v>
      </c>
      <c r="G79" s="158">
        <f t="shared" si="16"/>
        <v>0</v>
      </c>
      <c r="H79" s="158">
        <f t="shared" si="17"/>
        <v>0</v>
      </c>
      <c r="I79" s="158">
        <f t="shared" si="18"/>
        <v>0</v>
      </c>
      <c r="J79" s="159">
        <f t="shared" si="19"/>
        <v>0</v>
      </c>
      <c r="N79" s="456"/>
      <c r="O79" s="457"/>
      <c r="P79" s="457"/>
      <c r="Q79" s="457"/>
      <c r="R79" s="462"/>
      <c r="S79" s="53">
        <v>3.3</v>
      </c>
      <c r="T79" s="7" t="s">
        <v>46</v>
      </c>
      <c r="U79" s="7" t="s">
        <v>47</v>
      </c>
      <c r="V79" s="7" t="s">
        <v>42</v>
      </c>
      <c r="W79" s="52">
        <v>3.8</v>
      </c>
      <c r="X79" s="3">
        <v>13</v>
      </c>
      <c r="Z79" s="53"/>
      <c r="AA79" s="7"/>
      <c r="AB79" s="7"/>
      <c r="AC79" s="7"/>
      <c r="AD79" s="52"/>
      <c r="AE79" s="3">
        <v>14</v>
      </c>
      <c r="AG79" s="53"/>
      <c r="AH79" s="7"/>
      <c r="AI79" s="7"/>
      <c r="AJ79" s="7"/>
      <c r="AK79" s="52"/>
      <c r="AL79" s="3">
        <v>14</v>
      </c>
      <c r="AN79" s="53"/>
      <c r="AO79" s="7"/>
      <c r="AP79" s="7"/>
      <c r="AQ79" s="7"/>
      <c r="AR79" s="52"/>
      <c r="AS79" s="62">
        <v>14</v>
      </c>
      <c r="AU79" s="53"/>
      <c r="AV79" s="7"/>
      <c r="AW79" s="7"/>
      <c r="AX79" s="7"/>
      <c r="AY79" s="52"/>
      <c r="AZ79" s="62">
        <v>0</v>
      </c>
    </row>
    <row r="80" spans="1:52" ht="19.5" thickBot="1" x14ac:dyDescent="0.45">
      <c r="A80" s="12">
        <f t="shared" si="20"/>
        <v>18</v>
      </c>
      <c r="B80" s="77">
        <f t="shared" si="14"/>
        <v>0</v>
      </c>
      <c r="C80" s="41">
        <f t="shared" si="21"/>
        <v>0</v>
      </c>
      <c r="D80" s="42">
        <f>D75</f>
        <v>0</v>
      </c>
      <c r="E80" s="41">
        <f>IF(AND(S80&lt;ηAC値Z,ηAC値Z&lt;=W80),1,0)</f>
        <v>0</v>
      </c>
      <c r="F80" s="160">
        <f t="shared" si="23"/>
        <v>0</v>
      </c>
      <c r="G80" s="161">
        <f t="shared" si="16"/>
        <v>0</v>
      </c>
      <c r="H80" s="161">
        <f t="shared" si="17"/>
        <v>0</v>
      </c>
      <c r="I80" s="161">
        <f t="shared" si="18"/>
        <v>0</v>
      </c>
      <c r="J80" s="162">
        <f t="shared" si="19"/>
        <v>0</v>
      </c>
      <c r="N80" s="463"/>
      <c r="O80" s="464"/>
      <c r="P80" s="464"/>
      <c r="Q80" s="464"/>
      <c r="R80" s="466"/>
      <c r="S80" s="63">
        <v>3.8</v>
      </c>
      <c r="T80" s="48" t="s">
        <v>46</v>
      </c>
      <c r="U80" s="48" t="s">
        <v>47</v>
      </c>
      <c r="V80" s="48" t="s">
        <v>42</v>
      </c>
      <c r="W80" s="64">
        <v>4.3</v>
      </c>
      <c r="X80" s="65">
        <v>14</v>
      </c>
      <c r="Y80" s="46"/>
      <c r="Z80" s="63"/>
      <c r="AA80" s="48"/>
      <c r="AB80" s="48"/>
      <c r="AC80" s="48"/>
      <c r="AD80" s="64"/>
      <c r="AE80" s="65">
        <v>15</v>
      </c>
      <c r="AF80" s="46"/>
      <c r="AG80" s="63"/>
      <c r="AH80" s="48"/>
      <c r="AI80" s="48"/>
      <c r="AJ80" s="48"/>
      <c r="AK80" s="64"/>
      <c r="AL80" s="65">
        <v>15</v>
      </c>
      <c r="AM80" s="46"/>
      <c r="AN80" s="63"/>
      <c r="AO80" s="48"/>
      <c r="AP80" s="48"/>
      <c r="AQ80" s="48"/>
      <c r="AR80" s="64"/>
      <c r="AS80" s="66">
        <v>15</v>
      </c>
      <c r="AU80" s="63"/>
      <c r="AV80" s="48"/>
      <c r="AW80" s="48"/>
      <c r="AX80" s="48"/>
      <c r="AY80" s="64"/>
      <c r="AZ80" s="66">
        <v>0</v>
      </c>
    </row>
    <row r="81" spans="1:52" x14ac:dyDescent="0.4">
      <c r="A81" s="12">
        <f t="shared" si="20"/>
        <v>19</v>
      </c>
      <c r="B81" s="77">
        <f t="shared" si="14"/>
        <v>0</v>
      </c>
      <c r="C81" s="41">
        <f t="shared" si="21"/>
        <v>0</v>
      </c>
      <c r="D81" s="40">
        <f>IF(AND(N81&lt;=UA値z,UA値z&lt;R81),1,0)</f>
        <v>0</v>
      </c>
      <c r="E81" s="40">
        <f>IF(ηAC値Z&lt;=W81,1,0)</f>
        <v>0</v>
      </c>
      <c r="F81" s="157">
        <f t="shared" si="23"/>
        <v>0</v>
      </c>
      <c r="G81" s="158">
        <f t="shared" si="16"/>
        <v>0</v>
      </c>
      <c r="H81" s="158">
        <f t="shared" si="17"/>
        <v>0</v>
      </c>
      <c r="I81" s="158">
        <f t="shared" si="18"/>
        <v>0</v>
      </c>
      <c r="J81" s="159">
        <f t="shared" si="19"/>
        <v>0</v>
      </c>
      <c r="N81" s="456">
        <v>0.87</v>
      </c>
      <c r="O81" s="457" t="s">
        <v>42</v>
      </c>
      <c r="P81" s="457" t="s">
        <v>45</v>
      </c>
      <c r="Q81" s="457" t="s">
        <v>46</v>
      </c>
      <c r="R81" s="462">
        <v>1.1000000000000001</v>
      </c>
      <c r="S81" s="70"/>
      <c r="T81" s="47"/>
      <c r="U81" s="47" t="s">
        <v>47</v>
      </c>
      <c r="V81" s="47" t="s">
        <v>42</v>
      </c>
      <c r="W81" s="58">
        <v>1.8</v>
      </c>
      <c r="X81" s="42">
        <v>8</v>
      </c>
      <c r="Z81" s="70"/>
      <c r="AA81" s="47"/>
      <c r="AB81" s="47"/>
      <c r="AC81" s="47"/>
      <c r="AD81" s="58"/>
      <c r="AE81" s="42">
        <v>8</v>
      </c>
      <c r="AG81" s="70"/>
      <c r="AH81" s="47"/>
      <c r="AI81" s="47"/>
      <c r="AJ81" s="47"/>
      <c r="AK81" s="58"/>
      <c r="AL81" s="42">
        <v>8</v>
      </c>
      <c r="AN81" s="70"/>
      <c r="AO81" s="47"/>
      <c r="AP81" s="47"/>
      <c r="AQ81" s="47"/>
      <c r="AR81" s="58"/>
      <c r="AS81" s="74">
        <v>8</v>
      </c>
      <c r="AU81" s="70"/>
      <c r="AV81" s="47"/>
      <c r="AW81" s="47"/>
      <c r="AX81" s="47"/>
      <c r="AY81" s="58"/>
      <c r="AZ81" s="74">
        <v>0</v>
      </c>
    </row>
    <row r="82" spans="1:52" x14ac:dyDescent="0.4">
      <c r="A82" s="12">
        <f t="shared" si="20"/>
        <v>20</v>
      </c>
      <c r="B82" s="77">
        <f t="shared" si="14"/>
        <v>0</v>
      </c>
      <c r="C82" s="41">
        <f>IF(AND(D82=1,E82=1),1,0)</f>
        <v>0</v>
      </c>
      <c r="D82" s="41">
        <f>D81</f>
        <v>0</v>
      </c>
      <c r="E82" s="41">
        <f>IF(AND(S82&lt;ηAC値Z,ηAC値Z&lt;=W82),1,0)</f>
        <v>1</v>
      </c>
      <c r="F82" s="157">
        <f t="shared" si="23"/>
        <v>9</v>
      </c>
      <c r="G82" s="158">
        <f t="shared" si="16"/>
        <v>10</v>
      </c>
      <c r="H82" s="158">
        <f t="shared" si="17"/>
        <v>10</v>
      </c>
      <c r="I82" s="158">
        <f t="shared" si="18"/>
        <v>10</v>
      </c>
      <c r="J82" s="159">
        <f t="shared" si="19"/>
        <v>0</v>
      </c>
      <c r="N82" s="456"/>
      <c r="O82" s="457"/>
      <c r="P82" s="457"/>
      <c r="Q82" s="457"/>
      <c r="R82" s="462"/>
      <c r="S82" s="53">
        <v>1.8</v>
      </c>
      <c r="T82" s="7" t="s">
        <v>46</v>
      </c>
      <c r="U82" s="7" t="s">
        <v>47</v>
      </c>
      <c r="V82" s="7" t="s">
        <v>42</v>
      </c>
      <c r="W82" s="52">
        <v>2.2999999999999998</v>
      </c>
      <c r="X82" s="3">
        <v>9</v>
      </c>
      <c r="Z82" s="53"/>
      <c r="AA82" s="7"/>
      <c r="AB82" s="7"/>
      <c r="AC82" s="7"/>
      <c r="AD82" s="52"/>
      <c r="AE82" s="3">
        <v>10</v>
      </c>
      <c r="AG82" s="53"/>
      <c r="AH82" s="7"/>
      <c r="AI82" s="7"/>
      <c r="AJ82" s="7"/>
      <c r="AK82" s="52"/>
      <c r="AL82" s="3">
        <v>10</v>
      </c>
      <c r="AN82" s="53"/>
      <c r="AO82" s="7"/>
      <c r="AP82" s="7"/>
      <c r="AQ82" s="7"/>
      <c r="AR82" s="52"/>
      <c r="AS82" s="62">
        <v>10</v>
      </c>
      <c r="AU82" s="53"/>
      <c r="AV82" s="7"/>
      <c r="AW82" s="7"/>
      <c r="AX82" s="7"/>
      <c r="AY82" s="52"/>
      <c r="AZ82" s="62">
        <v>0</v>
      </c>
    </row>
    <row r="83" spans="1:52" x14ac:dyDescent="0.4">
      <c r="A83" s="12">
        <f t="shared" si="20"/>
        <v>21</v>
      </c>
      <c r="B83" s="77">
        <f t="shared" si="14"/>
        <v>0</v>
      </c>
      <c r="C83" s="41">
        <f t="shared" si="21"/>
        <v>0</v>
      </c>
      <c r="D83" s="41">
        <f>D81</f>
        <v>0</v>
      </c>
      <c r="E83" s="41">
        <f>IF(AND(S83&lt;ηAC値Z,ηAC値Z&lt;=W83),1,0)</f>
        <v>0</v>
      </c>
      <c r="F83" s="157">
        <f t="shared" si="23"/>
        <v>0</v>
      </c>
      <c r="G83" s="158">
        <f t="shared" si="16"/>
        <v>0</v>
      </c>
      <c r="H83" s="158">
        <f t="shared" si="17"/>
        <v>0</v>
      </c>
      <c r="I83" s="158">
        <f t="shared" si="18"/>
        <v>0</v>
      </c>
      <c r="J83" s="159">
        <f t="shared" si="19"/>
        <v>0</v>
      </c>
      <c r="N83" s="456"/>
      <c r="O83" s="457"/>
      <c r="P83" s="457"/>
      <c r="Q83" s="457"/>
      <c r="R83" s="462"/>
      <c r="S83" s="53">
        <v>2.2999999999999998</v>
      </c>
      <c r="T83" s="7" t="s">
        <v>46</v>
      </c>
      <c r="U83" s="7" t="s">
        <v>47</v>
      </c>
      <c r="V83" s="7" t="s">
        <v>42</v>
      </c>
      <c r="W83" s="52">
        <v>2.8</v>
      </c>
      <c r="X83" s="3">
        <v>10</v>
      </c>
      <c r="Z83" s="53"/>
      <c r="AA83" s="7"/>
      <c r="AB83" s="7"/>
      <c r="AC83" s="7"/>
      <c r="AD83" s="52"/>
      <c r="AE83" s="3">
        <v>11</v>
      </c>
      <c r="AG83" s="53"/>
      <c r="AH83" s="7"/>
      <c r="AI83" s="7"/>
      <c r="AJ83" s="7"/>
      <c r="AK83" s="52"/>
      <c r="AL83" s="3">
        <v>11</v>
      </c>
      <c r="AN83" s="53"/>
      <c r="AO83" s="7"/>
      <c r="AP83" s="7"/>
      <c r="AQ83" s="7"/>
      <c r="AR83" s="52"/>
      <c r="AS83" s="62">
        <v>11</v>
      </c>
      <c r="AU83" s="53"/>
      <c r="AV83" s="7"/>
      <c r="AW83" s="7"/>
      <c r="AX83" s="7"/>
      <c r="AY83" s="52"/>
      <c r="AZ83" s="62">
        <v>0</v>
      </c>
    </row>
    <row r="84" spans="1:52" x14ac:dyDescent="0.4">
      <c r="A84" s="12">
        <f t="shared" si="20"/>
        <v>22</v>
      </c>
      <c r="B84" s="77">
        <f t="shared" si="14"/>
        <v>0</v>
      </c>
      <c r="C84" s="41">
        <f t="shared" si="21"/>
        <v>0</v>
      </c>
      <c r="D84" s="41">
        <f>D81</f>
        <v>0</v>
      </c>
      <c r="E84" s="41">
        <f>IF(AND(S84&lt;ηAC値Z,ηAC値Z&lt;=W84),1,0)</f>
        <v>0</v>
      </c>
      <c r="F84" s="157">
        <f t="shared" si="23"/>
        <v>0</v>
      </c>
      <c r="G84" s="158">
        <f t="shared" si="16"/>
        <v>0</v>
      </c>
      <c r="H84" s="158">
        <f t="shared" si="17"/>
        <v>0</v>
      </c>
      <c r="I84" s="158">
        <f t="shared" si="18"/>
        <v>0</v>
      </c>
      <c r="J84" s="159">
        <f t="shared" si="19"/>
        <v>0</v>
      </c>
      <c r="N84" s="456"/>
      <c r="O84" s="457"/>
      <c r="P84" s="457"/>
      <c r="Q84" s="457"/>
      <c r="R84" s="462"/>
      <c r="S84" s="53">
        <v>2.8</v>
      </c>
      <c r="T84" s="7" t="s">
        <v>46</v>
      </c>
      <c r="U84" s="7" t="s">
        <v>47</v>
      </c>
      <c r="V84" s="7" t="s">
        <v>42</v>
      </c>
      <c r="W84" s="52">
        <v>3.3</v>
      </c>
      <c r="X84" s="3">
        <v>11</v>
      </c>
      <c r="Z84" s="53"/>
      <c r="AA84" s="7"/>
      <c r="AB84" s="7"/>
      <c r="AC84" s="7"/>
      <c r="AD84" s="52"/>
      <c r="AE84" s="3">
        <v>12</v>
      </c>
      <c r="AG84" s="53"/>
      <c r="AH84" s="7"/>
      <c r="AI84" s="7"/>
      <c r="AJ84" s="7"/>
      <c r="AK84" s="52"/>
      <c r="AL84" s="3">
        <v>12</v>
      </c>
      <c r="AN84" s="53"/>
      <c r="AO84" s="7"/>
      <c r="AP84" s="7"/>
      <c r="AQ84" s="7"/>
      <c r="AR84" s="52"/>
      <c r="AS84" s="62">
        <v>12</v>
      </c>
      <c r="AU84" s="53"/>
      <c r="AV84" s="7"/>
      <c r="AW84" s="7"/>
      <c r="AX84" s="7"/>
      <c r="AY84" s="52"/>
      <c r="AZ84" s="62">
        <v>0</v>
      </c>
    </row>
    <row r="85" spans="1:52" x14ac:dyDescent="0.4">
      <c r="A85" s="12">
        <f t="shared" si="20"/>
        <v>23</v>
      </c>
      <c r="B85" s="77">
        <f t="shared" si="14"/>
        <v>0</v>
      </c>
      <c r="C85" s="41">
        <f t="shared" si="21"/>
        <v>0</v>
      </c>
      <c r="D85" s="41">
        <f>D81</f>
        <v>0</v>
      </c>
      <c r="E85" s="41">
        <f>IF(AND(S85&lt;ηAC値Z,ηAC値Z&lt;=W85),1,0)</f>
        <v>0</v>
      </c>
      <c r="F85" s="157">
        <f t="shared" si="23"/>
        <v>0</v>
      </c>
      <c r="G85" s="158">
        <f t="shared" si="16"/>
        <v>0</v>
      </c>
      <c r="H85" s="158">
        <f t="shared" si="17"/>
        <v>0</v>
      </c>
      <c r="I85" s="158">
        <f t="shared" si="18"/>
        <v>0</v>
      </c>
      <c r="J85" s="159">
        <f t="shared" si="19"/>
        <v>0</v>
      </c>
      <c r="N85" s="456"/>
      <c r="O85" s="457"/>
      <c r="P85" s="457"/>
      <c r="Q85" s="457"/>
      <c r="R85" s="462"/>
      <c r="S85" s="53">
        <v>3.3</v>
      </c>
      <c r="T85" s="7" t="s">
        <v>46</v>
      </c>
      <c r="U85" s="7" t="s">
        <v>47</v>
      </c>
      <c r="V85" s="7" t="s">
        <v>42</v>
      </c>
      <c r="W85" s="52">
        <v>3.8</v>
      </c>
      <c r="X85" s="3">
        <v>12</v>
      </c>
      <c r="Z85" s="53"/>
      <c r="AA85" s="7"/>
      <c r="AB85" s="7"/>
      <c r="AC85" s="7"/>
      <c r="AD85" s="52"/>
      <c r="AE85" s="3">
        <v>13</v>
      </c>
      <c r="AG85" s="53"/>
      <c r="AH85" s="7"/>
      <c r="AI85" s="7"/>
      <c r="AJ85" s="7"/>
      <c r="AK85" s="52"/>
      <c r="AL85" s="3">
        <v>13</v>
      </c>
      <c r="AN85" s="53"/>
      <c r="AO85" s="7"/>
      <c r="AP85" s="7"/>
      <c r="AQ85" s="7"/>
      <c r="AR85" s="52"/>
      <c r="AS85" s="62">
        <v>13</v>
      </c>
      <c r="AU85" s="53"/>
      <c r="AV85" s="7"/>
      <c r="AW85" s="7"/>
      <c r="AX85" s="7"/>
      <c r="AY85" s="52"/>
      <c r="AZ85" s="62">
        <v>0</v>
      </c>
    </row>
    <row r="86" spans="1:52" ht="19.5" thickBot="1" x14ac:dyDescent="0.45">
      <c r="A86" s="12">
        <f t="shared" si="20"/>
        <v>24</v>
      </c>
      <c r="B86" s="77">
        <f t="shared" si="14"/>
        <v>0</v>
      </c>
      <c r="C86" s="41">
        <f t="shared" si="21"/>
        <v>0</v>
      </c>
      <c r="D86" s="41">
        <f>D81</f>
        <v>0</v>
      </c>
      <c r="E86" s="41">
        <f>IF(AND(S86&lt;ηAC値Z,ηAC値Z&lt;=W86),1,0)</f>
        <v>0</v>
      </c>
      <c r="F86" s="157">
        <f t="shared" si="23"/>
        <v>0</v>
      </c>
      <c r="G86" s="158">
        <f t="shared" si="16"/>
        <v>0</v>
      </c>
      <c r="H86" s="158">
        <f t="shared" si="17"/>
        <v>0</v>
      </c>
      <c r="I86" s="158">
        <f t="shared" si="18"/>
        <v>0</v>
      </c>
      <c r="J86" s="159">
        <f t="shared" si="19"/>
        <v>0</v>
      </c>
      <c r="N86" s="456"/>
      <c r="O86" s="457"/>
      <c r="P86" s="457"/>
      <c r="Q86" s="457"/>
      <c r="R86" s="462"/>
      <c r="S86" s="63">
        <v>3.8</v>
      </c>
      <c r="T86" s="48" t="s">
        <v>46</v>
      </c>
      <c r="U86" s="48" t="s">
        <v>47</v>
      </c>
      <c r="V86" s="48" t="s">
        <v>42</v>
      </c>
      <c r="W86" s="64">
        <v>4.3</v>
      </c>
      <c r="X86" s="40">
        <v>14</v>
      </c>
      <c r="Z86" s="63"/>
      <c r="AA86" s="48"/>
      <c r="AB86" s="48"/>
      <c r="AC86" s="48"/>
      <c r="AD86" s="64"/>
      <c r="AE86" s="40">
        <v>14</v>
      </c>
      <c r="AG86" s="63"/>
      <c r="AH86" s="48"/>
      <c r="AI86" s="48"/>
      <c r="AJ86" s="48"/>
      <c r="AK86" s="64"/>
      <c r="AL86" s="40">
        <v>14</v>
      </c>
      <c r="AN86" s="63"/>
      <c r="AO86" s="48"/>
      <c r="AP86" s="48"/>
      <c r="AQ86" s="48"/>
      <c r="AR86" s="64"/>
      <c r="AS86" s="73">
        <v>14</v>
      </c>
      <c r="AU86" s="63"/>
      <c r="AV86" s="48"/>
      <c r="AW86" s="48"/>
      <c r="AX86" s="48"/>
      <c r="AY86" s="64"/>
      <c r="AZ86" s="73">
        <v>0</v>
      </c>
    </row>
    <row r="87" spans="1:52" x14ac:dyDescent="0.4">
      <c r="A87" s="12">
        <f t="shared" si="20"/>
        <v>25</v>
      </c>
      <c r="B87" s="77">
        <f t="shared" si="14"/>
        <v>0</v>
      </c>
      <c r="C87" s="41">
        <f t="shared" si="21"/>
        <v>0</v>
      </c>
      <c r="D87" s="40">
        <f>IF(AND(N87&lt;=UA値z,UA値z&lt;R87),1,0)</f>
        <v>0</v>
      </c>
      <c r="E87" s="40">
        <f>IF(ηAC値Z&lt;=W87,1,0)</f>
        <v>0</v>
      </c>
      <c r="F87" s="154">
        <f t="shared" si="23"/>
        <v>0</v>
      </c>
      <c r="G87" s="155">
        <f t="shared" si="16"/>
        <v>0</v>
      </c>
      <c r="H87" s="155">
        <f t="shared" si="17"/>
        <v>0</v>
      </c>
      <c r="I87" s="155">
        <f t="shared" si="18"/>
        <v>0</v>
      </c>
      <c r="J87" s="156">
        <f t="shared" si="19"/>
        <v>0</v>
      </c>
      <c r="N87" s="458">
        <v>1.1000000000000001</v>
      </c>
      <c r="O87" s="459" t="s">
        <v>42</v>
      </c>
      <c r="P87" s="459" t="s">
        <v>45</v>
      </c>
      <c r="Q87" s="459" t="s">
        <v>46</v>
      </c>
      <c r="R87" s="465">
        <v>1.32</v>
      </c>
      <c r="S87" s="70"/>
      <c r="T87" s="47"/>
      <c r="U87" s="47" t="s">
        <v>47</v>
      </c>
      <c r="V87" s="47" t="s">
        <v>42</v>
      </c>
      <c r="W87" s="58">
        <v>1.8</v>
      </c>
      <c r="X87" s="59">
        <v>7</v>
      </c>
      <c r="Y87" s="60"/>
      <c r="Z87" s="70"/>
      <c r="AA87" s="47"/>
      <c r="AB87" s="47"/>
      <c r="AC87" s="47"/>
      <c r="AD87" s="58"/>
      <c r="AE87" s="59">
        <v>7</v>
      </c>
      <c r="AF87" s="60"/>
      <c r="AG87" s="70"/>
      <c r="AH87" s="47"/>
      <c r="AI87" s="47"/>
      <c r="AJ87" s="47"/>
      <c r="AK87" s="58"/>
      <c r="AL87" s="59">
        <v>7</v>
      </c>
      <c r="AM87" s="60"/>
      <c r="AN87" s="70"/>
      <c r="AO87" s="47"/>
      <c r="AP87" s="47"/>
      <c r="AQ87" s="47"/>
      <c r="AR87" s="58"/>
      <c r="AS87" s="61">
        <v>7</v>
      </c>
      <c r="AU87" s="70"/>
      <c r="AV87" s="47"/>
      <c r="AW87" s="47"/>
      <c r="AX87" s="47"/>
      <c r="AY87" s="58"/>
      <c r="AZ87" s="61">
        <v>0</v>
      </c>
    </row>
    <row r="88" spans="1:52" x14ac:dyDescent="0.4">
      <c r="A88" s="12">
        <f t="shared" si="20"/>
        <v>26</v>
      </c>
      <c r="B88" s="77">
        <f t="shared" si="14"/>
        <v>0</v>
      </c>
      <c r="C88" s="41">
        <f t="shared" si="21"/>
        <v>0</v>
      </c>
      <c r="D88" s="41">
        <f>D87</f>
        <v>0</v>
      </c>
      <c r="E88" s="41">
        <f>IF(AND(S88&lt;ηAC値Z,ηAC値Z&lt;=W88),1,0)</f>
        <v>1</v>
      </c>
      <c r="F88" s="157">
        <f t="shared" si="23"/>
        <v>8</v>
      </c>
      <c r="G88" s="158">
        <f t="shared" si="16"/>
        <v>8</v>
      </c>
      <c r="H88" s="158">
        <f t="shared" si="17"/>
        <v>8</v>
      </c>
      <c r="I88" s="158">
        <f t="shared" si="18"/>
        <v>8</v>
      </c>
      <c r="J88" s="159">
        <f t="shared" si="19"/>
        <v>0</v>
      </c>
      <c r="N88" s="456"/>
      <c r="O88" s="457"/>
      <c r="P88" s="457"/>
      <c r="Q88" s="457"/>
      <c r="R88" s="462"/>
      <c r="S88" s="53">
        <v>1.8</v>
      </c>
      <c r="T88" s="7" t="s">
        <v>46</v>
      </c>
      <c r="U88" s="7" t="s">
        <v>47</v>
      </c>
      <c r="V88" s="7" t="s">
        <v>42</v>
      </c>
      <c r="W88" s="52">
        <v>2.2999999999999998</v>
      </c>
      <c r="X88" s="3">
        <v>8</v>
      </c>
      <c r="Z88" s="53"/>
      <c r="AA88" s="7"/>
      <c r="AB88" s="7"/>
      <c r="AC88" s="7"/>
      <c r="AD88" s="52"/>
      <c r="AE88" s="3">
        <v>8</v>
      </c>
      <c r="AG88" s="53"/>
      <c r="AH88" s="7"/>
      <c r="AI88" s="7"/>
      <c r="AJ88" s="7"/>
      <c r="AK88" s="52"/>
      <c r="AL88" s="3">
        <v>8</v>
      </c>
      <c r="AN88" s="53"/>
      <c r="AO88" s="7"/>
      <c r="AP88" s="7"/>
      <c r="AQ88" s="7"/>
      <c r="AR88" s="52"/>
      <c r="AS88" s="62">
        <v>8</v>
      </c>
      <c r="AU88" s="53"/>
      <c r="AV88" s="7"/>
      <c r="AW88" s="7"/>
      <c r="AX88" s="7"/>
      <c r="AY88" s="52"/>
      <c r="AZ88" s="62">
        <v>0</v>
      </c>
    </row>
    <row r="89" spans="1:52" x14ac:dyDescent="0.4">
      <c r="A89" s="12">
        <f t="shared" si="20"/>
        <v>27</v>
      </c>
      <c r="B89" s="77">
        <f t="shared" si="14"/>
        <v>0</v>
      </c>
      <c r="C89" s="41">
        <f t="shared" si="21"/>
        <v>0</v>
      </c>
      <c r="D89" s="41">
        <f>D87</f>
        <v>0</v>
      </c>
      <c r="E89" s="41">
        <f>IF(AND(S89&lt;ηAC値Z,ηAC値Z&lt;=W89),1,0)</f>
        <v>0</v>
      </c>
      <c r="F89" s="157">
        <f t="shared" si="23"/>
        <v>0</v>
      </c>
      <c r="G89" s="158">
        <f t="shared" si="16"/>
        <v>0</v>
      </c>
      <c r="H89" s="158">
        <f t="shared" si="17"/>
        <v>0</v>
      </c>
      <c r="I89" s="158">
        <f t="shared" si="18"/>
        <v>0</v>
      </c>
      <c r="J89" s="159">
        <f t="shared" si="19"/>
        <v>0</v>
      </c>
      <c r="N89" s="456"/>
      <c r="O89" s="457"/>
      <c r="P89" s="457"/>
      <c r="Q89" s="457"/>
      <c r="R89" s="462"/>
      <c r="S89" s="53">
        <v>2.2999999999999998</v>
      </c>
      <c r="T89" s="7" t="s">
        <v>46</v>
      </c>
      <c r="U89" s="7" t="s">
        <v>47</v>
      </c>
      <c r="V89" s="7" t="s">
        <v>42</v>
      </c>
      <c r="W89" s="52">
        <v>2.8</v>
      </c>
      <c r="X89" s="3">
        <v>9</v>
      </c>
      <c r="Z89" s="53"/>
      <c r="AA89" s="7"/>
      <c r="AB89" s="7"/>
      <c r="AC89" s="7"/>
      <c r="AD89" s="52"/>
      <c r="AE89" s="3">
        <v>9</v>
      </c>
      <c r="AG89" s="53"/>
      <c r="AH89" s="7"/>
      <c r="AI89" s="7"/>
      <c r="AJ89" s="7"/>
      <c r="AK89" s="52"/>
      <c r="AL89" s="3">
        <v>9</v>
      </c>
      <c r="AN89" s="53"/>
      <c r="AO89" s="7"/>
      <c r="AP89" s="7"/>
      <c r="AQ89" s="7"/>
      <c r="AR89" s="52"/>
      <c r="AS89" s="62">
        <v>9</v>
      </c>
      <c r="AU89" s="53"/>
      <c r="AV89" s="7"/>
      <c r="AW89" s="7"/>
      <c r="AX89" s="7"/>
      <c r="AY89" s="52"/>
      <c r="AZ89" s="62">
        <v>0</v>
      </c>
    </row>
    <row r="90" spans="1:52" x14ac:dyDescent="0.4">
      <c r="A90" s="12">
        <f t="shared" si="20"/>
        <v>28</v>
      </c>
      <c r="B90" s="77">
        <f t="shared" si="14"/>
        <v>0</v>
      </c>
      <c r="C90" s="41">
        <f t="shared" si="21"/>
        <v>0</v>
      </c>
      <c r="D90" s="41">
        <f>D87</f>
        <v>0</v>
      </c>
      <c r="E90" s="41">
        <f>IF(AND(S90&lt;ηAC値Z,ηAC値Z&lt;=W90),1,0)</f>
        <v>0</v>
      </c>
      <c r="F90" s="157">
        <f t="shared" si="23"/>
        <v>0</v>
      </c>
      <c r="G90" s="158">
        <f t="shared" si="16"/>
        <v>0</v>
      </c>
      <c r="H90" s="158">
        <f t="shared" si="17"/>
        <v>0</v>
      </c>
      <c r="I90" s="158">
        <f t="shared" si="18"/>
        <v>0</v>
      </c>
      <c r="J90" s="159">
        <f t="shared" si="19"/>
        <v>0</v>
      </c>
      <c r="N90" s="456"/>
      <c r="O90" s="457"/>
      <c r="P90" s="457"/>
      <c r="Q90" s="457"/>
      <c r="R90" s="462"/>
      <c r="S90" s="53">
        <v>2.8</v>
      </c>
      <c r="T90" s="7" t="s">
        <v>46</v>
      </c>
      <c r="U90" s="7" t="s">
        <v>47</v>
      </c>
      <c r="V90" s="7" t="s">
        <v>42</v>
      </c>
      <c r="W90" s="52">
        <v>3.3</v>
      </c>
      <c r="X90" s="3">
        <v>10</v>
      </c>
      <c r="Z90" s="53"/>
      <c r="AA90" s="7"/>
      <c r="AB90" s="7"/>
      <c r="AC90" s="7"/>
      <c r="AD90" s="52"/>
      <c r="AE90" s="3">
        <v>10</v>
      </c>
      <c r="AG90" s="53"/>
      <c r="AH90" s="7"/>
      <c r="AI90" s="7"/>
      <c r="AJ90" s="7"/>
      <c r="AK90" s="52"/>
      <c r="AL90" s="3">
        <v>10</v>
      </c>
      <c r="AN90" s="53"/>
      <c r="AO90" s="7"/>
      <c r="AP90" s="7"/>
      <c r="AQ90" s="7"/>
      <c r="AR90" s="52"/>
      <c r="AS90" s="62">
        <v>10</v>
      </c>
      <c r="AU90" s="53"/>
      <c r="AV90" s="7"/>
      <c r="AW90" s="7"/>
      <c r="AX90" s="7"/>
      <c r="AY90" s="52"/>
      <c r="AZ90" s="62">
        <v>0</v>
      </c>
    </row>
    <row r="91" spans="1:52" x14ac:dyDescent="0.4">
      <c r="A91" s="12">
        <f t="shared" si="20"/>
        <v>29</v>
      </c>
      <c r="B91" s="77">
        <f t="shared" si="14"/>
        <v>0</v>
      </c>
      <c r="C91" s="41">
        <f t="shared" si="21"/>
        <v>0</v>
      </c>
      <c r="D91" s="41">
        <f>D87</f>
        <v>0</v>
      </c>
      <c r="E91" s="41">
        <f>IF(AND(S91&lt;ηAC値Z,ηAC値Z&lt;=W91),1,0)</f>
        <v>0</v>
      </c>
      <c r="F91" s="157">
        <f t="shared" si="23"/>
        <v>0</v>
      </c>
      <c r="G91" s="158">
        <f t="shared" si="16"/>
        <v>0</v>
      </c>
      <c r="H91" s="158">
        <f t="shared" si="17"/>
        <v>0</v>
      </c>
      <c r="I91" s="158">
        <f t="shared" si="18"/>
        <v>0</v>
      </c>
      <c r="J91" s="159">
        <f t="shared" si="19"/>
        <v>0</v>
      </c>
      <c r="N91" s="456"/>
      <c r="O91" s="457"/>
      <c r="P91" s="457"/>
      <c r="Q91" s="457"/>
      <c r="R91" s="462"/>
      <c r="S91" s="53">
        <v>3.3</v>
      </c>
      <c r="T91" s="7" t="s">
        <v>46</v>
      </c>
      <c r="U91" s="7" t="s">
        <v>47</v>
      </c>
      <c r="V91" s="7" t="s">
        <v>42</v>
      </c>
      <c r="W91" s="52">
        <v>3.8</v>
      </c>
      <c r="X91" s="3">
        <v>11</v>
      </c>
      <c r="Z91" s="53"/>
      <c r="AA91" s="7"/>
      <c r="AB91" s="7"/>
      <c r="AC91" s="7"/>
      <c r="AD91" s="52"/>
      <c r="AE91" s="3">
        <v>12</v>
      </c>
      <c r="AG91" s="53"/>
      <c r="AH91" s="7"/>
      <c r="AI91" s="7"/>
      <c r="AJ91" s="7"/>
      <c r="AK91" s="52"/>
      <c r="AL91" s="3">
        <v>12</v>
      </c>
      <c r="AN91" s="53"/>
      <c r="AO91" s="7"/>
      <c r="AP91" s="7"/>
      <c r="AQ91" s="7"/>
      <c r="AR91" s="52"/>
      <c r="AS91" s="62">
        <v>12</v>
      </c>
      <c r="AU91" s="53"/>
      <c r="AV91" s="7"/>
      <c r="AW91" s="7"/>
      <c r="AX91" s="7"/>
      <c r="AY91" s="52"/>
      <c r="AZ91" s="62">
        <v>0</v>
      </c>
    </row>
    <row r="92" spans="1:52" ht="19.5" thickBot="1" x14ac:dyDescent="0.45">
      <c r="A92" s="12">
        <f t="shared" si="20"/>
        <v>30</v>
      </c>
      <c r="B92" s="77">
        <f t="shared" si="14"/>
        <v>0</v>
      </c>
      <c r="C92" s="41">
        <f t="shared" si="21"/>
        <v>0</v>
      </c>
      <c r="D92" s="42">
        <f>D87</f>
        <v>0</v>
      </c>
      <c r="E92" s="41">
        <f>IF(AND(S92&lt;ηAC値Z,ηAC値Z&lt;=W92),1,0)</f>
        <v>0</v>
      </c>
      <c r="F92" s="160">
        <f t="shared" si="23"/>
        <v>0</v>
      </c>
      <c r="G92" s="161">
        <f t="shared" si="16"/>
        <v>0</v>
      </c>
      <c r="H92" s="161">
        <f t="shared" si="17"/>
        <v>0</v>
      </c>
      <c r="I92" s="161">
        <f t="shared" si="18"/>
        <v>0</v>
      </c>
      <c r="J92" s="162">
        <f t="shared" si="19"/>
        <v>0</v>
      </c>
      <c r="N92" s="463"/>
      <c r="O92" s="464"/>
      <c r="P92" s="464"/>
      <c r="Q92" s="464"/>
      <c r="R92" s="466"/>
      <c r="S92" s="63">
        <v>3.8</v>
      </c>
      <c r="T92" s="48" t="s">
        <v>46</v>
      </c>
      <c r="U92" s="48" t="s">
        <v>47</v>
      </c>
      <c r="V92" s="48" t="s">
        <v>42</v>
      </c>
      <c r="W92" s="64">
        <v>4.3</v>
      </c>
      <c r="X92" s="65">
        <v>12</v>
      </c>
      <c r="Y92" s="46"/>
      <c r="Z92" s="63"/>
      <c r="AA92" s="48"/>
      <c r="AB92" s="48"/>
      <c r="AC92" s="48"/>
      <c r="AD92" s="64"/>
      <c r="AE92" s="65">
        <v>13</v>
      </c>
      <c r="AF92" s="46"/>
      <c r="AG92" s="63"/>
      <c r="AH92" s="48"/>
      <c r="AI92" s="48"/>
      <c r="AJ92" s="48"/>
      <c r="AK92" s="64"/>
      <c r="AL92" s="65">
        <v>13</v>
      </c>
      <c r="AM92" s="46"/>
      <c r="AN92" s="63"/>
      <c r="AO92" s="48"/>
      <c r="AP92" s="48"/>
      <c r="AQ92" s="48"/>
      <c r="AR92" s="64"/>
      <c r="AS92" s="66">
        <v>13</v>
      </c>
      <c r="AU92" s="63"/>
      <c r="AV92" s="48"/>
      <c r="AW92" s="48"/>
      <c r="AX92" s="48"/>
      <c r="AY92" s="64"/>
      <c r="AZ92" s="66">
        <v>0</v>
      </c>
    </row>
    <row r="93" spans="1:52" x14ac:dyDescent="0.4">
      <c r="A93" s="12">
        <f t="shared" si="20"/>
        <v>31</v>
      </c>
      <c r="B93" s="77">
        <f t="shared" si="14"/>
        <v>0</v>
      </c>
      <c r="C93" s="41">
        <f>IF(AND(D93=1,E93=1),1,0)</f>
        <v>0</v>
      </c>
      <c r="D93" s="40">
        <f>IF(N93&lt;=UA値z,1,0)</f>
        <v>0</v>
      </c>
      <c r="E93" s="40">
        <f>IF(ηAC値Z&lt;=W93,1,0)</f>
        <v>0</v>
      </c>
      <c r="F93" s="154">
        <f t="shared" si="23"/>
        <v>0</v>
      </c>
      <c r="G93" s="155">
        <f t="shared" si="16"/>
        <v>0</v>
      </c>
      <c r="H93" s="155">
        <f t="shared" si="17"/>
        <v>0</v>
      </c>
      <c r="I93" s="155">
        <f t="shared" si="18"/>
        <v>0</v>
      </c>
      <c r="J93" s="156">
        <f t="shared" si="19"/>
        <v>0</v>
      </c>
      <c r="N93" s="456">
        <v>1.32</v>
      </c>
      <c r="O93" s="457" t="s">
        <v>42</v>
      </c>
      <c r="P93" s="457" t="s">
        <v>45</v>
      </c>
      <c r="Q93" s="457"/>
      <c r="R93" s="462"/>
      <c r="S93" s="70"/>
      <c r="T93" s="47"/>
      <c r="U93" s="47" t="s">
        <v>47</v>
      </c>
      <c r="V93" s="47" t="s">
        <v>42</v>
      </c>
      <c r="W93" s="58">
        <v>1.8</v>
      </c>
      <c r="X93" s="42">
        <v>7</v>
      </c>
      <c r="Z93" s="70"/>
      <c r="AA93" s="47"/>
      <c r="AB93" s="47"/>
      <c r="AC93" s="47"/>
      <c r="AD93" s="58"/>
      <c r="AE93" s="42">
        <v>7</v>
      </c>
      <c r="AG93" s="70"/>
      <c r="AH93" s="47"/>
      <c r="AI93" s="47"/>
      <c r="AJ93" s="47"/>
      <c r="AK93" s="58"/>
      <c r="AL93" s="42">
        <v>7</v>
      </c>
      <c r="AN93" s="70"/>
      <c r="AO93" s="47"/>
      <c r="AP93" s="47"/>
      <c r="AQ93" s="47"/>
      <c r="AR93" s="58"/>
      <c r="AS93" s="74">
        <v>7</v>
      </c>
      <c r="AU93" s="70"/>
      <c r="AV93" s="47"/>
      <c r="AW93" s="47"/>
      <c r="AX93" s="47"/>
      <c r="AY93" s="58"/>
      <c r="AZ93" s="74">
        <v>0</v>
      </c>
    </row>
    <row r="94" spans="1:52" x14ac:dyDescent="0.4">
      <c r="A94" s="12">
        <f t="shared" si="20"/>
        <v>32</v>
      </c>
      <c r="B94" s="77">
        <f t="shared" si="14"/>
        <v>0</v>
      </c>
      <c r="C94" s="41">
        <f t="shared" si="21"/>
        <v>0</v>
      </c>
      <c r="D94" s="41">
        <f>D93</f>
        <v>0</v>
      </c>
      <c r="E94" s="41">
        <f>IF(AND(S94&lt;ηAC値Z,ηAC値Z&lt;=W94),1,0)</f>
        <v>1</v>
      </c>
      <c r="F94" s="157">
        <f t="shared" si="23"/>
        <v>7</v>
      </c>
      <c r="G94" s="158">
        <f t="shared" si="16"/>
        <v>8</v>
      </c>
      <c r="H94" s="158">
        <f t="shared" si="17"/>
        <v>8</v>
      </c>
      <c r="I94" s="158">
        <f t="shared" si="18"/>
        <v>8</v>
      </c>
      <c r="J94" s="159">
        <f t="shared" si="19"/>
        <v>0</v>
      </c>
      <c r="N94" s="456"/>
      <c r="O94" s="457"/>
      <c r="P94" s="457"/>
      <c r="Q94" s="457"/>
      <c r="R94" s="462"/>
      <c r="S94" s="53">
        <v>1.8</v>
      </c>
      <c r="T94" s="7" t="s">
        <v>46</v>
      </c>
      <c r="U94" s="7" t="s">
        <v>47</v>
      </c>
      <c r="V94" s="7" t="s">
        <v>42</v>
      </c>
      <c r="W94" s="52">
        <v>2.2999999999999998</v>
      </c>
      <c r="X94" s="3">
        <v>7</v>
      </c>
      <c r="Z94" s="53"/>
      <c r="AA94" s="7"/>
      <c r="AB94" s="7"/>
      <c r="AC94" s="7"/>
      <c r="AD94" s="52"/>
      <c r="AE94" s="3">
        <v>8</v>
      </c>
      <c r="AG94" s="53"/>
      <c r="AH94" s="7"/>
      <c r="AI94" s="7"/>
      <c r="AJ94" s="7"/>
      <c r="AK94" s="52"/>
      <c r="AL94" s="3">
        <v>8</v>
      </c>
      <c r="AN94" s="53"/>
      <c r="AO94" s="7"/>
      <c r="AP94" s="7"/>
      <c r="AQ94" s="7"/>
      <c r="AR94" s="52"/>
      <c r="AS94" s="62">
        <v>8</v>
      </c>
      <c r="AU94" s="53"/>
      <c r="AV94" s="7"/>
      <c r="AW94" s="7"/>
      <c r="AX94" s="7"/>
      <c r="AY94" s="52"/>
      <c r="AZ94" s="62">
        <v>0</v>
      </c>
    </row>
    <row r="95" spans="1:52" x14ac:dyDescent="0.4">
      <c r="A95" s="12">
        <f t="shared" si="20"/>
        <v>33</v>
      </c>
      <c r="B95" s="77">
        <f t="shared" si="14"/>
        <v>0</v>
      </c>
      <c r="C95" s="41">
        <f t="shared" si="21"/>
        <v>0</v>
      </c>
      <c r="D95" s="41">
        <f>D93</f>
        <v>0</v>
      </c>
      <c r="E95" s="41">
        <f>IF(AND(S95&lt;ηAC値Z,ηAC値Z&lt;=W95),1,0)</f>
        <v>0</v>
      </c>
      <c r="F95" s="157">
        <f t="shared" si="22"/>
        <v>0</v>
      </c>
      <c r="G95" s="158">
        <f t="shared" si="16"/>
        <v>0</v>
      </c>
      <c r="H95" s="158">
        <f t="shared" si="17"/>
        <v>0</v>
      </c>
      <c r="I95" s="158">
        <f t="shared" si="18"/>
        <v>0</v>
      </c>
      <c r="J95" s="159">
        <f t="shared" si="19"/>
        <v>0</v>
      </c>
      <c r="N95" s="456"/>
      <c r="O95" s="457"/>
      <c r="P95" s="457"/>
      <c r="Q95" s="457"/>
      <c r="R95" s="462"/>
      <c r="S95" s="53">
        <v>2.2999999999999998</v>
      </c>
      <c r="T95" s="7" t="s">
        <v>46</v>
      </c>
      <c r="U95" s="7" t="s">
        <v>47</v>
      </c>
      <c r="V95" s="7" t="s">
        <v>42</v>
      </c>
      <c r="W95" s="52">
        <v>2.8</v>
      </c>
      <c r="X95" s="3">
        <v>8</v>
      </c>
      <c r="Z95" s="53"/>
      <c r="AA95" s="7"/>
      <c r="AB95" s="7"/>
      <c r="AC95" s="7"/>
      <c r="AD95" s="52"/>
      <c r="AE95" s="3">
        <v>9</v>
      </c>
      <c r="AG95" s="53"/>
      <c r="AH95" s="7"/>
      <c r="AI95" s="7"/>
      <c r="AJ95" s="7"/>
      <c r="AK95" s="52"/>
      <c r="AL95" s="3">
        <v>9</v>
      </c>
      <c r="AN95" s="53"/>
      <c r="AO95" s="7"/>
      <c r="AP95" s="7"/>
      <c r="AQ95" s="7"/>
      <c r="AR95" s="52"/>
      <c r="AS95" s="62">
        <v>9</v>
      </c>
      <c r="AU95" s="53"/>
      <c r="AV95" s="7"/>
      <c r="AW95" s="7"/>
      <c r="AX95" s="7"/>
      <c r="AY95" s="52"/>
      <c r="AZ95" s="62">
        <v>0</v>
      </c>
    </row>
    <row r="96" spans="1:52" x14ac:dyDescent="0.4">
      <c r="A96" s="12">
        <f t="shared" si="20"/>
        <v>34</v>
      </c>
      <c r="B96" s="77">
        <f t="shared" si="14"/>
        <v>0</v>
      </c>
      <c r="C96" s="41">
        <f t="shared" si="21"/>
        <v>0</v>
      </c>
      <c r="D96" s="41">
        <f>D93</f>
        <v>0</v>
      </c>
      <c r="E96" s="41">
        <f>IF(AND(S96&lt;ηAC値Z,ηAC値Z&lt;=W96),1,0)</f>
        <v>0</v>
      </c>
      <c r="F96" s="157">
        <f>IF(E96=1,X96,0)</f>
        <v>0</v>
      </c>
      <c r="G96" s="158">
        <f t="shared" si="16"/>
        <v>0</v>
      </c>
      <c r="H96" s="158">
        <f t="shared" si="17"/>
        <v>0</v>
      </c>
      <c r="I96" s="158">
        <f t="shared" si="18"/>
        <v>0</v>
      </c>
      <c r="J96" s="159">
        <f t="shared" si="19"/>
        <v>0</v>
      </c>
      <c r="N96" s="456"/>
      <c r="O96" s="457"/>
      <c r="P96" s="457"/>
      <c r="Q96" s="457"/>
      <c r="R96" s="462"/>
      <c r="S96" s="53">
        <v>2.8</v>
      </c>
      <c r="T96" s="7" t="s">
        <v>46</v>
      </c>
      <c r="U96" s="7" t="s">
        <v>47</v>
      </c>
      <c r="V96" s="7" t="s">
        <v>42</v>
      </c>
      <c r="W96" s="52">
        <v>3.3</v>
      </c>
      <c r="X96" s="3">
        <v>9</v>
      </c>
      <c r="Z96" s="53"/>
      <c r="AA96" s="7"/>
      <c r="AB96" s="7"/>
      <c r="AC96" s="7"/>
      <c r="AD96" s="52"/>
      <c r="AE96" s="3">
        <v>10</v>
      </c>
      <c r="AG96" s="53"/>
      <c r="AH96" s="7"/>
      <c r="AI96" s="7"/>
      <c r="AJ96" s="7"/>
      <c r="AK96" s="52"/>
      <c r="AL96" s="3">
        <v>10</v>
      </c>
      <c r="AN96" s="53"/>
      <c r="AO96" s="7"/>
      <c r="AP96" s="7"/>
      <c r="AQ96" s="7"/>
      <c r="AR96" s="52"/>
      <c r="AS96" s="62">
        <v>10</v>
      </c>
      <c r="AU96" s="53"/>
      <c r="AV96" s="7"/>
      <c r="AW96" s="7"/>
      <c r="AX96" s="7"/>
      <c r="AY96" s="52"/>
      <c r="AZ96" s="62">
        <v>0</v>
      </c>
    </row>
    <row r="97" spans="1:52" x14ac:dyDescent="0.4">
      <c r="A97" s="12">
        <f t="shared" si="20"/>
        <v>35</v>
      </c>
      <c r="B97" s="77">
        <f t="shared" si="14"/>
        <v>0</v>
      </c>
      <c r="C97" s="41">
        <f t="shared" si="21"/>
        <v>0</v>
      </c>
      <c r="D97" s="41">
        <f>D93</f>
        <v>0</v>
      </c>
      <c r="E97" s="41">
        <f>IF(AND(S97&lt;ηAC値Z,ηAC値Z&lt;=W97),1,0)</f>
        <v>0</v>
      </c>
      <c r="F97" s="157">
        <f>IF(E97=1,X97,0)</f>
        <v>0</v>
      </c>
      <c r="G97" s="158">
        <f t="shared" si="16"/>
        <v>0</v>
      </c>
      <c r="H97" s="158">
        <f t="shared" si="17"/>
        <v>0</v>
      </c>
      <c r="I97" s="158">
        <f t="shared" si="18"/>
        <v>0</v>
      </c>
      <c r="J97" s="159">
        <f t="shared" si="19"/>
        <v>0</v>
      </c>
      <c r="N97" s="456"/>
      <c r="O97" s="457"/>
      <c r="P97" s="457"/>
      <c r="Q97" s="457"/>
      <c r="R97" s="462"/>
      <c r="S97" s="53">
        <v>3.3</v>
      </c>
      <c r="T97" s="7" t="s">
        <v>46</v>
      </c>
      <c r="U97" s="7" t="s">
        <v>47</v>
      </c>
      <c r="V97" s="7" t="s">
        <v>42</v>
      </c>
      <c r="W97" s="52">
        <v>3.8</v>
      </c>
      <c r="X97" s="3">
        <v>10</v>
      </c>
      <c r="Z97" s="53"/>
      <c r="AA97" s="7"/>
      <c r="AB97" s="7"/>
      <c r="AC97" s="7"/>
      <c r="AD97" s="52"/>
      <c r="AE97" s="3">
        <v>11</v>
      </c>
      <c r="AG97" s="53"/>
      <c r="AH97" s="7"/>
      <c r="AI97" s="7"/>
      <c r="AJ97" s="7"/>
      <c r="AK97" s="52"/>
      <c r="AL97" s="3">
        <v>11</v>
      </c>
      <c r="AN97" s="53"/>
      <c r="AO97" s="7"/>
      <c r="AP97" s="7"/>
      <c r="AQ97" s="7"/>
      <c r="AR97" s="52"/>
      <c r="AS97" s="62">
        <v>11</v>
      </c>
      <c r="AU97" s="53"/>
      <c r="AV97" s="7"/>
      <c r="AW97" s="7"/>
      <c r="AX97" s="7"/>
      <c r="AY97" s="52"/>
      <c r="AZ97" s="62">
        <v>0</v>
      </c>
    </row>
    <row r="98" spans="1:52" ht="19.5" thickBot="1" x14ac:dyDescent="0.45">
      <c r="A98" s="12">
        <f t="shared" si="20"/>
        <v>36</v>
      </c>
      <c r="B98" s="77">
        <f t="shared" si="14"/>
        <v>0</v>
      </c>
      <c r="C98" s="42">
        <f>IF(AND(D98=1,E98=1),1,0)</f>
        <v>0</v>
      </c>
      <c r="D98" s="42">
        <f>D93</f>
        <v>0</v>
      </c>
      <c r="E98" s="42">
        <f>IF(AND(S98&lt;ηAC値Z,ηAC値Z&lt;=W98),1,0)</f>
        <v>0</v>
      </c>
      <c r="F98" s="160">
        <f>IF(E98=1,X98,0)</f>
        <v>0</v>
      </c>
      <c r="G98" s="161">
        <f t="shared" si="16"/>
        <v>0</v>
      </c>
      <c r="H98" s="161">
        <f t="shared" si="17"/>
        <v>0</v>
      </c>
      <c r="I98" s="161">
        <f t="shared" si="18"/>
        <v>0</v>
      </c>
      <c r="J98" s="162">
        <f t="shared" si="19"/>
        <v>0</v>
      </c>
      <c r="N98" s="463"/>
      <c r="O98" s="464"/>
      <c r="P98" s="464"/>
      <c r="Q98" s="464"/>
      <c r="R98" s="466"/>
      <c r="S98" s="63">
        <v>3.8</v>
      </c>
      <c r="T98" s="48" t="s">
        <v>46</v>
      </c>
      <c r="U98" s="48" t="s">
        <v>47</v>
      </c>
      <c r="V98" s="48" t="s">
        <v>42</v>
      </c>
      <c r="W98" s="64">
        <v>4.3</v>
      </c>
      <c r="X98" s="65">
        <v>11</v>
      </c>
      <c r="Y98" s="46"/>
      <c r="Z98" s="63"/>
      <c r="AA98" s="48"/>
      <c r="AB98" s="48"/>
      <c r="AC98" s="48"/>
      <c r="AD98" s="64"/>
      <c r="AE98" s="65">
        <v>12</v>
      </c>
      <c r="AF98" s="46"/>
      <c r="AG98" s="63"/>
      <c r="AH98" s="48"/>
      <c r="AI98" s="48"/>
      <c r="AJ98" s="48"/>
      <c r="AK98" s="64"/>
      <c r="AL98" s="65">
        <v>12</v>
      </c>
      <c r="AM98" s="46"/>
      <c r="AN98" s="63"/>
      <c r="AO98" s="48"/>
      <c r="AP98" s="48"/>
      <c r="AQ98" s="48"/>
      <c r="AR98" s="64"/>
      <c r="AS98" s="66">
        <v>12</v>
      </c>
      <c r="AU98" s="63"/>
      <c r="AV98" s="48"/>
      <c r="AW98" s="48"/>
      <c r="AX98" s="48"/>
      <c r="AY98" s="64"/>
      <c r="AZ98" s="66">
        <v>0</v>
      </c>
    </row>
    <row r="99" spans="1:52" x14ac:dyDescent="0.4">
      <c r="A99" s="447" t="s">
        <v>247</v>
      </c>
      <c r="B99" s="449">
        <f>SUM(B63:B98)</f>
        <v>10</v>
      </c>
    </row>
    <row r="100" spans="1:52" ht="19.5" thickBot="1" x14ac:dyDescent="0.45">
      <c r="A100" s="448"/>
      <c r="B100" s="450"/>
    </row>
  </sheetData>
  <sheetProtection algorithmName="SHA-512" hashValue="ZXwGnL7YHoGtR+7XGMAYuEpQbt7fHeAj2DcNTu3I301+TuMiT5NvPww/X7yRby2BMT9eT8GdHidGjcHAezhjig==" saltValue="DN0DSsEhgofi/TopCs9NRw==" spinCount="100000" sheet="1" selectLockedCells="1"/>
  <mergeCells count="113">
    <mergeCell ref="AN7:AS13"/>
    <mergeCell ref="AN55:AS61"/>
    <mergeCell ref="AN4:AS4"/>
    <mergeCell ref="N14:R14"/>
    <mergeCell ref="S14:W14"/>
    <mergeCell ref="Z14:AD14"/>
    <mergeCell ref="AG14:AK14"/>
    <mergeCell ref="AN14:AR14"/>
    <mergeCell ref="N3:O4"/>
    <mergeCell ref="P3:R3"/>
    <mergeCell ref="S3:X3"/>
    <mergeCell ref="Z3:AE3"/>
    <mergeCell ref="AG3:AL3"/>
    <mergeCell ref="AN3:AS3"/>
    <mergeCell ref="P4:R4"/>
    <mergeCell ref="S4:X4"/>
    <mergeCell ref="S55:X61"/>
    <mergeCell ref="Z7:AE13"/>
    <mergeCell ref="AG7:AL13"/>
    <mergeCell ref="Z55:AE61"/>
    <mergeCell ref="AG55:AL61"/>
    <mergeCell ref="Z4:AE4"/>
    <mergeCell ref="AG4:AL4"/>
    <mergeCell ref="N21:N26"/>
    <mergeCell ref="S7:X13"/>
    <mergeCell ref="N27:N32"/>
    <mergeCell ref="O27:O32"/>
    <mergeCell ref="P27:P32"/>
    <mergeCell ref="Q27:Q32"/>
    <mergeCell ref="R27:R32"/>
    <mergeCell ref="N33:N38"/>
    <mergeCell ref="O33:O38"/>
    <mergeCell ref="P33:P38"/>
    <mergeCell ref="Q33:Q38"/>
    <mergeCell ref="R33:R38"/>
    <mergeCell ref="O21:O26"/>
    <mergeCell ref="P21:P26"/>
    <mergeCell ref="Q21:Q26"/>
    <mergeCell ref="R21:R26"/>
    <mergeCell ref="N15:N20"/>
    <mergeCell ref="O15:O20"/>
    <mergeCell ref="P15:P20"/>
    <mergeCell ref="Q15:Q20"/>
    <mergeCell ref="R15:R20"/>
    <mergeCell ref="N39:N44"/>
    <mergeCell ref="O39:O44"/>
    <mergeCell ref="P39:P44"/>
    <mergeCell ref="Q39:Q44"/>
    <mergeCell ref="R39:R44"/>
    <mergeCell ref="N45:N50"/>
    <mergeCell ref="O45:O50"/>
    <mergeCell ref="P45:P50"/>
    <mergeCell ref="Q45:Q50"/>
    <mergeCell ref="R45:R50"/>
    <mergeCell ref="N62:R62"/>
    <mergeCell ref="S62:W62"/>
    <mergeCell ref="Z62:AD62"/>
    <mergeCell ref="AG62:AK62"/>
    <mergeCell ref="AN62:AR62"/>
    <mergeCell ref="N63:N68"/>
    <mergeCell ref="O63:O68"/>
    <mergeCell ref="P63:P68"/>
    <mergeCell ref="Q63:Q68"/>
    <mergeCell ref="R63:R68"/>
    <mergeCell ref="N69:N74"/>
    <mergeCell ref="O69:O74"/>
    <mergeCell ref="P69:P74"/>
    <mergeCell ref="Q69:Q74"/>
    <mergeCell ref="R69:R74"/>
    <mergeCell ref="N75:N80"/>
    <mergeCell ref="O75:O80"/>
    <mergeCell ref="P75:P80"/>
    <mergeCell ref="Q75:Q80"/>
    <mergeCell ref="R75:R80"/>
    <mergeCell ref="N93:N98"/>
    <mergeCell ref="O93:O98"/>
    <mergeCell ref="P93:P98"/>
    <mergeCell ref="Q93:Q98"/>
    <mergeCell ref="R93:R98"/>
    <mergeCell ref="N81:N86"/>
    <mergeCell ref="O81:O86"/>
    <mergeCell ref="P81:P86"/>
    <mergeCell ref="Q81:Q86"/>
    <mergeCell ref="R81:R86"/>
    <mergeCell ref="N87:N92"/>
    <mergeCell ref="O87:O92"/>
    <mergeCell ref="P87:P92"/>
    <mergeCell ref="Q87:Q92"/>
    <mergeCell ref="R87:R92"/>
    <mergeCell ref="AU3:AZ3"/>
    <mergeCell ref="AU4:AZ4"/>
    <mergeCell ref="AU6:AZ13"/>
    <mergeCell ref="AU14:AY14"/>
    <mergeCell ref="AU55:AZ61"/>
    <mergeCell ref="AU62:AY62"/>
    <mergeCell ref="A99:A100"/>
    <mergeCell ref="B99:B100"/>
    <mergeCell ref="D7:F7"/>
    <mergeCell ref="D8:F8"/>
    <mergeCell ref="D9:F9"/>
    <mergeCell ref="D10:F10"/>
    <mergeCell ref="A53:A54"/>
    <mergeCell ref="B53:B54"/>
    <mergeCell ref="B61:C61"/>
    <mergeCell ref="D61:D62"/>
    <mergeCell ref="E61:E62"/>
    <mergeCell ref="B13:C13"/>
    <mergeCell ref="D13:D14"/>
    <mergeCell ref="E13:E14"/>
    <mergeCell ref="B12:J12"/>
    <mergeCell ref="F13:J13"/>
    <mergeCell ref="B60:J60"/>
    <mergeCell ref="F61:J6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47</vt:i4>
      </vt:variant>
    </vt:vector>
  </HeadingPairs>
  <TitlesOfParts>
    <vt:vector size="59" baseType="lpstr">
      <vt:lpstr>外皮性能表紙</vt:lpstr>
      <vt:lpstr>一次エネ消費量表紙</vt:lpstr>
      <vt:lpstr>外皮の係数</vt:lpstr>
      <vt:lpstr>data</vt:lpstr>
      <vt:lpstr>4地域_外皮性能と冷房設備</vt:lpstr>
      <vt:lpstr>4地域_他設備</vt:lpstr>
      <vt:lpstr>5地域_外皮性能と冷房設備</vt:lpstr>
      <vt:lpstr>5地域_他設備</vt:lpstr>
      <vt:lpstr>6地域_外皮性能と冷房設備</vt:lpstr>
      <vt:lpstr>6地域_他設備</vt:lpstr>
      <vt:lpstr>7地域_外皮性能と冷房設備</vt:lpstr>
      <vt:lpstr>7地域_他設備</vt:lpstr>
      <vt:lpstr>'4地域_外皮性能と冷房設備'!Print_Area</vt:lpstr>
      <vt:lpstr>'4地域_他設備'!Print_Area</vt:lpstr>
      <vt:lpstr>'5地域_外皮性能と冷房設備'!Print_Area</vt:lpstr>
      <vt:lpstr>'5地域_他設備'!Print_Area</vt:lpstr>
      <vt:lpstr>'6地域_外皮性能と冷房設備'!Print_Area</vt:lpstr>
      <vt:lpstr>'6地域_他設備'!Print_Area</vt:lpstr>
      <vt:lpstr>'7地域_外皮性能と冷房設備'!Print_Area</vt:lpstr>
      <vt:lpstr>'7地域_他設備'!Print_Area</vt:lpstr>
      <vt:lpstr>一次エネ消費量表紙!Print_Area</vt:lpstr>
      <vt:lpstr>外皮の係数!Print_Area</vt:lpstr>
      <vt:lpstr>外皮性能表紙!Print_Area</vt:lpstr>
      <vt:lpstr>UA値z</vt:lpstr>
      <vt:lpstr>ηAC値Z</vt:lpstr>
      <vt:lpstr>ηAH</vt:lpstr>
      <vt:lpstr>外皮係数の範囲4地域</vt:lpstr>
      <vt:lpstr>外皮係数の範囲5地域</vt:lpstr>
      <vt:lpstr>外皮係数の範囲6地域</vt:lpstr>
      <vt:lpstr>外皮係数の範囲7地域</vt:lpstr>
      <vt:lpstr>外皮係数の範囲リスト</vt:lpstr>
      <vt:lpstr>換気設備ポイント一覧</vt:lpstr>
      <vt:lpstr>換気設備配列4地域</vt:lpstr>
      <vt:lpstr>換気設備配列5地域</vt:lpstr>
      <vt:lpstr>換気設備配列6地域</vt:lpstr>
      <vt:lpstr>換気設備配列7地域</vt:lpstr>
      <vt:lpstr>給気設備ポイント一覧</vt:lpstr>
      <vt:lpstr>給湯設備配列4地域</vt:lpstr>
      <vt:lpstr>給湯設備配列5地域</vt:lpstr>
      <vt:lpstr>給湯設備配列6地域</vt:lpstr>
      <vt:lpstr>給湯設備配列7地域</vt:lpstr>
      <vt:lpstr>照明設備ポイント一覧</vt:lpstr>
      <vt:lpstr>照明設備配列4地域</vt:lpstr>
      <vt:lpstr>照明設備配列5地域</vt:lpstr>
      <vt:lpstr>照明設備配列6地域</vt:lpstr>
      <vt:lpstr>照明設備配列7地域</vt:lpstr>
      <vt:lpstr>断熱構造リスト</vt:lpstr>
      <vt:lpstr>暖房設備リスト</vt:lpstr>
      <vt:lpstr>暖房設備配列5地域</vt:lpstr>
      <vt:lpstr>暖房設備配列6地域</vt:lpstr>
      <vt:lpstr>暖房設備配列7地域</vt:lpstr>
      <vt:lpstr>暖房配列4地域</vt:lpstr>
      <vt:lpstr>暖房方式番号Z</vt:lpstr>
      <vt:lpstr>浴室の断熱構造の番号</vt:lpstr>
      <vt:lpstr>浴室の断熱構造リスト</vt:lpstr>
      <vt:lpstr>冷房設備配列4地域</vt:lpstr>
      <vt:lpstr>冷房設備配列5地域</vt:lpstr>
      <vt:lpstr>冷房設備配列6地域</vt:lpstr>
      <vt:lpstr>冷房設備配列7地域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2023-05-12T15:51:39Z</cp:lastPrinted>
  <dcterms:created xsi:type="dcterms:W3CDTF">2023-04-18T05:35:05Z</dcterms:created>
  <dcterms:modified xsi:type="dcterms:W3CDTF">2023-07-19T06:03:53Z</dcterms:modified>
</cp:coreProperties>
</file>